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kiacovino/Library/CloudStorage/Dropbox/Research/Calculators and Spreadsheets/"/>
    </mc:Choice>
  </mc:AlternateContent>
  <xr:revisionPtr revIDLastSave="0" documentId="13_ncr:1_{D7F45481-8B60-8441-9A87-4634B0700127}" xr6:coauthVersionLast="47" xr6:coauthVersionMax="47" xr10:uidLastSave="{00000000-0000-0000-0000-000000000000}"/>
  <bookViews>
    <workbookView xWindow="100" yWindow="600" windowWidth="29820" windowHeight="10400" tabRatio="500" activeTab="1" xr2:uid="{00000000-000D-0000-FFFF-FFFF00000000}"/>
  </bookViews>
  <sheets>
    <sheet name="fO2 to Ferric-Ferris" sheetId="1" r:id="rId1"/>
    <sheet name="Ferric-Ferris to fO2" sheetId="7" r:id="rId2"/>
    <sheet name="Fe3+-Tot to Ferric-Ferris" sheetId="8" r:id="rId3"/>
    <sheet name="Parameters" sheetId="5" r:id="rId4"/>
    <sheet name="Citation" sheetId="4" r:id="rId5"/>
  </sheets>
  <definedNames>
    <definedName name="NNO">'fO2 to Ferric-Ferris'!#REF!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C9" i="8" l="1"/>
  <c r="C10" i="8" s="1"/>
  <c r="C8" i="8"/>
  <c r="C15" i="8" l="1"/>
  <c r="C23" i="7"/>
  <c r="D15" i="7" s="1"/>
  <c r="F15" i="7" s="1"/>
  <c r="C8" i="7"/>
  <c r="B8" i="7"/>
  <c r="D8" i="1"/>
  <c r="C16" i="1"/>
  <c r="C23" i="1"/>
  <c r="D16" i="1" s="1"/>
  <c r="B8" i="1"/>
  <c r="C8" i="1" s="1"/>
  <c r="C4" i="5"/>
  <c r="L13" i="1"/>
  <c r="L12" i="1"/>
  <c r="L14" i="1"/>
  <c r="L17" i="1"/>
  <c r="L18" i="1"/>
  <c r="L19" i="1"/>
  <c r="L20" i="1"/>
  <c r="L21" i="1"/>
  <c r="L22" i="1"/>
  <c r="C16" i="8" l="1"/>
  <c r="C11" i="8" s="1"/>
  <c r="D17" i="7"/>
  <c r="F17" i="7" s="1"/>
  <c r="D19" i="7"/>
  <c r="F19" i="7" s="1"/>
  <c r="D13" i="7"/>
  <c r="F13" i="7" s="1"/>
  <c r="D21" i="7"/>
  <c r="F21" i="7" s="1"/>
  <c r="D16" i="7"/>
  <c r="F16" i="7" s="1"/>
  <c r="D20" i="7"/>
  <c r="F20" i="7" s="1"/>
  <c r="D14" i="7"/>
  <c r="F14" i="7" s="1"/>
  <c r="D18" i="7"/>
  <c r="F18" i="7" s="1"/>
  <c r="D22" i="7"/>
  <c r="F22" i="7" s="1"/>
  <c r="D12" i="7"/>
  <c r="D19" i="1"/>
  <c r="F19" i="1" s="1"/>
  <c r="D14" i="1"/>
  <c r="F14" i="1" s="1"/>
  <c r="D22" i="1"/>
  <c r="F22" i="1" s="1"/>
  <c r="D18" i="1"/>
  <c r="F18" i="1" s="1"/>
  <c r="D13" i="1"/>
  <c r="F13" i="1" s="1"/>
  <c r="D21" i="1"/>
  <c r="F21" i="1" s="1"/>
  <c r="D17" i="1"/>
  <c r="F17" i="1" s="1"/>
  <c r="D12" i="1"/>
  <c r="D20" i="1"/>
  <c r="F20" i="1" s="1"/>
  <c r="F16" i="1"/>
  <c r="F12" i="7" l="1"/>
  <c r="D23" i="7"/>
  <c r="F12" i="1"/>
  <c r="D23" i="1"/>
  <c r="F23" i="7" l="1"/>
  <c r="G15" i="7" s="1"/>
  <c r="F23" i="1"/>
  <c r="G12" i="1" s="1"/>
  <c r="G13" i="7" l="1"/>
  <c r="G20" i="7"/>
  <c r="G19" i="7"/>
  <c r="G16" i="7"/>
  <c r="J17" i="7" s="1"/>
  <c r="G21" i="7"/>
  <c r="G14" i="7"/>
  <c r="G17" i="7"/>
  <c r="G18" i="7"/>
  <c r="G22" i="7"/>
  <c r="G12" i="7"/>
  <c r="J12" i="1"/>
  <c r="G19" i="1"/>
  <c r="J19" i="1" s="1"/>
  <c r="K19" i="1" s="1"/>
  <c r="G16" i="1"/>
  <c r="G13" i="1"/>
  <c r="J13" i="1" s="1"/>
  <c r="K13" i="1" s="1"/>
  <c r="G18" i="1"/>
  <c r="J18" i="1" s="1"/>
  <c r="K18" i="1" s="1"/>
  <c r="G17" i="1"/>
  <c r="J17" i="1" s="1"/>
  <c r="K17" i="1" s="1"/>
  <c r="G14" i="1"/>
  <c r="G22" i="1"/>
  <c r="J22" i="1" s="1"/>
  <c r="K22" i="1" s="1"/>
  <c r="G21" i="1"/>
  <c r="J21" i="1" s="1"/>
  <c r="K21" i="1" s="1"/>
  <c r="G20" i="1"/>
  <c r="J20" i="1" s="1"/>
  <c r="K20" i="1" s="1"/>
  <c r="J13" i="7" l="1"/>
  <c r="J14" i="7" s="1"/>
  <c r="I7" i="7" s="1"/>
  <c r="G23" i="7"/>
  <c r="J3" i="1"/>
  <c r="J4" i="1" s="1"/>
  <c r="J14" i="1"/>
  <c r="K14" i="1" s="1"/>
  <c r="G23" i="1"/>
  <c r="K12" i="1"/>
  <c r="M3" i="1" l="1"/>
  <c r="J15" i="7"/>
  <c r="J16" i="7"/>
  <c r="M4" i="1"/>
  <c r="M5" i="1" l="1"/>
  <c r="J16" i="1"/>
  <c r="K16" i="1" s="1"/>
  <c r="J15" i="1"/>
  <c r="K15" i="1" l="1"/>
  <c r="J23" i="1"/>
  <c r="K23" i="1" l="1"/>
  <c r="M12" i="1" s="1"/>
  <c r="L16" i="1" l="1"/>
  <c r="M20" i="1"/>
  <c r="M18" i="1"/>
  <c r="M14" i="1"/>
  <c r="M17" i="1"/>
  <c r="M19" i="1"/>
  <c r="M22" i="1"/>
  <c r="M21" i="1"/>
  <c r="M13" i="1"/>
  <c r="M16" i="1"/>
  <c r="M15" i="1"/>
  <c r="L15" i="1"/>
  <c r="L23" i="1" l="1"/>
  <c r="M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Kayla</author>
  </authors>
  <commentList>
    <comment ref="D3" authorId="0" shapeId="0" xr:uid="{00000000-0006-0000-0000-000001000000}">
      <text>
        <r>
          <rPr>
            <b/>
            <sz val="9"/>
            <color rgb="FF000000"/>
            <rFont val="Verdana"/>
            <family val="2"/>
          </rPr>
          <t>Kayla: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>Select buffer from drop down box</t>
        </r>
      </text>
    </comment>
    <comment ref="E3" authorId="0" shapeId="0" xr:uid="{00000000-0006-0000-0000-000002000000}">
      <text>
        <r>
          <rPr>
            <b/>
            <sz val="9"/>
            <color rgb="FF000000"/>
            <rFont val="Verdana"/>
            <family val="2"/>
          </rPr>
          <t>Kayla:</t>
        </r>
        <r>
          <rPr>
            <sz val="9"/>
            <color rgb="FF000000"/>
            <rFont val="Verdana"/>
            <family val="2"/>
          </rPr>
          <t xml:space="preserve">
</t>
        </r>
        <r>
          <rPr>
            <sz val="9"/>
            <color rgb="FF000000"/>
            <rFont val="Verdana"/>
            <family val="2"/>
          </rPr>
          <t>For example: If you want to set fO2 = NNO+1, enter "+1" in cell C6</t>
        </r>
      </text>
    </comment>
  </commentList>
</comments>
</file>

<file path=xl/sharedStrings.xml><?xml version="1.0" encoding="utf-8"?>
<sst xmlns="http://schemas.openxmlformats.org/spreadsheetml/2006/main" count="121" uniqueCount="72">
  <si>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</si>
  <si>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</si>
  <si>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</si>
  <si>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</si>
  <si>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</si>
  <si>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</si>
  <si>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</si>
  <si>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</si>
  <si>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</si>
  <si>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</si>
  <si>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a</t>
  </si>
  <si>
    <t>b</t>
  </si>
  <si>
    <t>c</t>
  </si>
  <si>
    <t>dAl2O3</t>
  </si>
  <si>
    <t>dFeO*</t>
  </si>
  <si>
    <t>dCaO</t>
  </si>
  <si>
    <t>dNa2O</t>
  </si>
  <si>
    <t>dK2O</t>
  </si>
  <si>
    <t>Temp (K)</t>
  </si>
  <si>
    <t>TOTAL</t>
  </si>
  <si>
    <t>ln(XFe2O3/XFeO)</t>
  </si>
  <si>
    <t>XFe2O3/XFeO</t>
  </si>
  <si>
    <t>XFe2O3</t>
  </si>
  <si>
    <t>XFeO</t>
  </si>
  <si>
    <t>USER INPUTS</t>
  </si>
  <si>
    <t>OUTPUTS</t>
  </si>
  <si>
    <t>Fe2O3</t>
  </si>
  <si>
    <t>wt%</t>
  </si>
  <si>
    <t>X (mol frac)</t>
  </si>
  <si>
    <t>wt%/MW</t>
  </si>
  <si>
    <t>MW</t>
    <phoneticPr fontId="2"/>
  </si>
  <si>
    <t>Temp (°C)</t>
  </si>
  <si>
    <t>wt% normalized</t>
  </si>
  <si>
    <t>X*MW</t>
  </si>
  <si>
    <t>QFM</t>
  </si>
  <si>
    <t>NNO</t>
  </si>
  <si>
    <t>fO2 buffer</t>
  </si>
  <si>
    <t>fO2 value</t>
  </si>
  <si>
    <t>Δbuffer</t>
  </si>
  <si>
    <t>wt% FeO*</t>
  </si>
  <si>
    <t>P (bars)</t>
  </si>
  <si>
    <t>relative moles Fe3+</t>
  </si>
  <si>
    <t>relative moles Fe2+</t>
  </si>
  <si>
    <t>Fe3+/Fetot molar</t>
  </si>
  <si>
    <t>e</t>
  </si>
  <si>
    <t>f</t>
  </si>
  <si>
    <t>g</t>
  </si>
  <si>
    <t>h</t>
  </si>
  <si>
    <t>P (Pa)</t>
  </si>
  <si>
    <t>CONVERSIONS</t>
  </si>
  <si>
    <t>MELT COMPOSITION</t>
  </si>
  <si>
    <t>NEW MELT COMPOSITION</t>
  </si>
  <si>
    <t>KRESS AND CARMICHAEL MODEL PARAMETERS</t>
  </si>
  <si>
    <t>T_o (K)</t>
  </si>
  <si>
    <t>A</t>
  </si>
  <si>
    <t>B</t>
  </si>
  <si>
    <t>C</t>
  </si>
  <si>
    <t>fO2 BUFFER PARAMETERS</t>
  </si>
  <si>
    <t>FeO*</t>
  </si>
  <si>
    <t>*holding the mole fraction of total Fe constant and recalculating XFeO and XFe2O3</t>
  </si>
  <si>
    <t>wt% norm</t>
  </si>
  <si>
    <t>lnfO2</t>
  </si>
  <si>
    <t>dQFM</t>
  </si>
  <si>
    <t>dNNO</t>
  </si>
  <si>
    <t>Fe3+/FeTot</t>
  </si>
  <si>
    <t>FeOT</t>
  </si>
  <si>
    <t>Enter either FeOT OR Fe2O3 and FeO</t>
  </si>
  <si>
    <t>FeOT (calcd)</t>
  </si>
  <si>
    <t>Fe3/Fe2</t>
  </si>
  <si>
    <t>Fe2O3/FeO</t>
  </si>
  <si>
    <t>Check FeOT</t>
  </si>
  <si>
    <t>VERSION 3.2 (JANUARY,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</si>
</sst>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color rgb="FF222222"/>
      <name val="Arial"/>
      <family val="2"/>
    </font>
    <font>
      <sz val="11"/>
      <color theme="9" tint="-0.499984740745262"/>
      <name val="Verdana"/>
      <family val="2"/>
    </font>
    <font>
      <b/>
      <sz val="11"/>
      <color theme="0" tint="-0.249977111117893"/>
      <name val="Verdana"/>
      <family val="2"/>
    </font>
    <font>
      <b/>
      <sz val="11"/>
      <color theme="0" tint="-0.34998626667073579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0" tint="-0.249977111117893"/>
      <name val="Verdana"/>
      <family val="2"/>
    </font>
    <font>
      <sz val="11"/>
      <color theme="0" tint="-0.34998626667073579"/>
      <name val="Verdana"/>
      <family val="2"/>
    </font>
    <font>
      <b/>
      <sz val="9"/>
      <color theme="0"/>
      <name val="Verdana"/>
      <family val="2"/>
    </font>
    <font>
      <b/>
      <sz val="11"/>
      <color theme="1" tint="0.499984740745262"/>
      <name val="Verdana"/>
      <family val="2"/>
    </font>
    <font>
      <sz val="11"/>
      <color theme="1" tint="0.499984740745262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3F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7" fillId="0" borderId="0" xfId="0" applyFont="1"/>
    <xf numFmtId="0" fontId="8" fillId="12" borderId="15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/>
    </xf>
    <xf numFmtId="0" fontId="8" fillId="12" borderId="16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9" fillId="13" borderId="19" xfId="0" applyFont="1" applyFill="1" applyBorder="1" applyAlignment="1">
      <alignment horizontal="center"/>
    </xf>
    <xf numFmtId="0" fontId="9" fillId="0" borderId="0" xfId="0" applyFont="1"/>
    <xf numFmtId="0" fontId="9" fillId="11" borderId="11" xfId="0" applyFont="1" applyFill="1" applyBorder="1" applyAlignment="1">
      <alignment horizontal="center"/>
    </xf>
    <xf numFmtId="0" fontId="9" fillId="13" borderId="11" xfId="0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0" fontId="9" fillId="14" borderId="15" xfId="0" applyFont="1" applyFill="1" applyBorder="1" applyAlignment="1">
      <alignment horizontal="right"/>
    </xf>
    <xf numFmtId="0" fontId="9" fillId="13" borderId="16" xfId="0" applyFont="1" applyFill="1" applyBorder="1" applyAlignment="1">
      <alignment horizontal="center"/>
    </xf>
    <xf numFmtId="0" fontId="9" fillId="14" borderId="17" xfId="0" applyFont="1" applyFill="1" applyBorder="1" applyAlignment="1">
      <alignment horizontal="right"/>
    </xf>
    <xf numFmtId="0" fontId="6" fillId="5" borderId="15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164" fontId="7" fillId="10" borderId="29" xfId="0" applyNumberFormat="1" applyFont="1" applyFill="1" applyBorder="1"/>
    <xf numFmtId="0" fontId="11" fillId="8" borderId="34" xfId="0" applyFont="1" applyFill="1" applyBorder="1"/>
    <xf numFmtId="0" fontId="6" fillId="9" borderId="31" xfId="0" applyFont="1" applyFill="1" applyBorder="1"/>
    <xf numFmtId="164" fontId="7" fillId="10" borderId="16" xfId="0" applyNumberFormat="1" applyFont="1" applyFill="1" applyBorder="1"/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11" fillId="8" borderId="35" xfId="0" applyFont="1" applyFill="1" applyBorder="1"/>
    <xf numFmtId="164" fontId="7" fillId="10" borderId="30" xfId="0" applyNumberFormat="1" applyFont="1" applyFill="1" applyBorder="1"/>
    <xf numFmtId="0" fontId="11" fillId="8" borderId="36" xfId="0" applyFont="1" applyFill="1" applyBorder="1"/>
    <xf numFmtId="0" fontId="7" fillId="9" borderId="32" xfId="0" applyFont="1" applyFill="1" applyBorder="1"/>
    <xf numFmtId="0" fontId="7" fillId="10" borderId="19" xfId="0" applyFont="1" applyFill="1" applyBorder="1"/>
    <xf numFmtId="0" fontId="6" fillId="7" borderId="15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3" borderId="15" xfId="0" applyFont="1" applyFill="1" applyBorder="1"/>
    <xf numFmtId="0" fontId="6" fillId="3" borderId="16" xfId="0" applyFont="1" applyFill="1" applyBorder="1"/>
    <xf numFmtId="0" fontId="12" fillId="7" borderId="6" xfId="0" applyFont="1" applyFill="1" applyBorder="1"/>
    <xf numFmtId="0" fontId="13" fillId="7" borderId="0" xfId="0" applyFont="1" applyFill="1"/>
    <xf numFmtId="0" fontId="6" fillId="7" borderId="7" xfId="0" applyFont="1" applyFill="1" applyBorder="1"/>
    <xf numFmtId="0" fontId="7" fillId="8" borderId="15" xfId="0" applyFont="1" applyFill="1" applyBorder="1"/>
    <xf numFmtId="0" fontId="6" fillId="8" borderId="11" xfId="0" applyFont="1" applyFill="1" applyBorder="1"/>
    <xf numFmtId="0" fontId="14" fillId="6" borderId="34" xfId="0" applyFont="1" applyFill="1" applyBorder="1"/>
    <xf numFmtId="0" fontId="6" fillId="8" borderId="16" xfId="0" applyFont="1" applyFill="1" applyBorder="1"/>
    <xf numFmtId="0" fontId="7" fillId="5" borderId="15" xfId="0" applyFont="1" applyFill="1" applyBorder="1" applyAlignment="1">
      <alignment horizontal="right"/>
    </xf>
    <xf numFmtId="2" fontId="15" fillId="4" borderId="16" xfId="0" applyNumberFormat="1" applyFont="1" applyFill="1" applyBorder="1" applyAlignment="1">
      <alignment horizontal="center"/>
    </xf>
    <xf numFmtId="2" fontId="16" fillId="7" borderId="6" xfId="0" applyNumberFormat="1" applyFont="1" applyFill="1" applyBorder="1"/>
    <xf numFmtId="0" fontId="17" fillId="7" borderId="0" xfId="0" applyFont="1" applyFill="1"/>
    <xf numFmtId="164" fontId="7" fillId="7" borderId="7" xfId="0" applyNumberFormat="1" applyFont="1" applyFill="1" applyBorder="1"/>
    <xf numFmtId="0" fontId="7" fillId="9" borderId="15" xfId="0" applyFont="1" applyFill="1" applyBorder="1" applyAlignment="1">
      <alignment horizontal="right"/>
    </xf>
    <xf numFmtId="0" fontId="17" fillId="7" borderId="34" xfId="0" applyFont="1" applyFill="1" applyBorder="1"/>
    <xf numFmtId="2" fontId="7" fillId="10" borderId="31" xfId="0" applyNumberFormat="1" applyFont="1" applyFill="1" applyBorder="1"/>
    <xf numFmtId="2" fontId="7" fillId="10" borderId="16" xfId="0" applyNumberFormat="1" applyFont="1" applyFill="1" applyBorder="1"/>
    <xf numFmtId="0" fontId="17" fillId="7" borderId="35" xfId="0" applyFont="1" applyFill="1" applyBorder="1"/>
    <xf numFmtId="0" fontId="16" fillId="7" borderId="6" xfId="0" applyFont="1" applyFill="1" applyBorder="1"/>
    <xf numFmtId="0" fontId="7" fillId="5" borderId="25" xfId="0" applyFont="1" applyFill="1" applyBorder="1" applyAlignment="1">
      <alignment horizontal="right"/>
    </xf>
    <xf numFmtId="2" fontId="15" fillId="4" borderId="26" xfId="0" applyNumberFormat="1" applyFont="1" applyFill="1" applyBorder="1" applyAlignment="1">
      <alignment horizontal="center"/>
    </xf>
    <xf numFmtId="2" fontId="16" fillId="7" borderId="8" xfId="0" applyNumberFormat="1" applyFont="1" applyFill="1" applyBorder="1"/>
    <xf numFmtId="0" fontId="17" fillId="7" borderId="9" xfId="0" applyFont="1" applyFill="1" applyBorder="1"/>
    <xf numFmtId="164" fontId="7" fillId="7" borderId="10" xfId="0" applyNumberFormat="1" applyFont="1" applyFill="1" applyBorder="1"/>
    <xf numFmtId="0" fontId="7" fillId="9" borderId="25" xfId="0" applyFont="1" applyFill="1" applyBorder="1" applyAlignment="1">
      <alignment horizontal="right"/>
    </xf>
    <xf numFmtId="164" fontId="7" fillId="10" borderId="1" xfId="0" applyNumberFormat="1" applyFont="1" applyFill="1" applyBorder="1"/>
    <xf numFmtId="2" fontId="7" fillId="10" borderId="2" xfId="0" applyNumberFormat="1" applyFont="1" applyFill="1" applyBorder="1"/>
    <xf numFmtId="0" fontId="7" fillId="0" borderId="27" xfId="0" applyFont="1" applyBorder="1"/>
    <xf numFmtId="0" fontId="7" fillId="0" borderId="28" xfId="0" applyFont="1" applyBorder="1"/>
    <xf numFmtId="0" fontId="16" fillId="2" borderId="23" xfId="0" applyFont="1" applyFill="1" applyBorder="1"/>
    <xf numFmtId="0" fontId="7" fillId="2" borderId="23" xfId="0" applyFont="1" applyFill="1" applyBorder="1"/>
    <xf numFmtId="0" fontId="17" fillId="2" borderId="23" xfId="0" applyFont="1" applyFill="1" applyBorder="1"/>
    <xf numFmtId="0" fontId="7" fillId="2" borderId="24" xfId="0" applyFont="1" applyFill="1" applyBorder="1"/>
    <xf numFmtId="164" fontId="7" fillId="0" borderId="37" xfId="0" applyNumberFormat="1" applyFont="1" applyBorder="1"/>
    <xf numFmtId="164" fontId="17" fillId="7" borderId="37" xfId="0" applyNumberFormat="1" applyFont="1" applyFill="1" applyBorder="1"/>
    <xf numFmtId="2" fontId="7" fillId="0" borderId="28" xfId="0" applyNumberFormat="1" applyFont="1" applyBorder="1"/>
    <xf numFmtId="0" fontId="14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0" fontId="11" fillId="0" borderId="0" xfId="0" applyFont="1"/>
    <xf numFmtId="164" fontId="7" fillId="10" borderId="19" xfId="0" applyNumberFormat="1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right"/>
    </xf>
    <xf numFmtId="0" fontId="7" fillId="9" borderId="17" xfId="0" applyFont="1" applyFill="1" applyBorder="1" applyAlignment="1">
      <alignment horizontal="right"/>
    </xf>
    <xf numFmtId="0" fontId="7" fillId="9" borderId="15" xfId="0" applyFont="1" applyFill="1" applyBorder="1"/>
    <xf numFmtId="0" fontId="7" fillId="9" borderId="31" xfId="0" applyFont="1" applyFill="1" applyBorder="1"/>
    <xf numFmtId="0" fontId="7" fillId="9" borderId="17" xfId="0" applyFont="1" applyFill="1" applyBorder="1"/>
    <xf numFmtId="164" fontId="6" fillId="10" borderId="16" xfId="0" applyNumberFormat="1" applyFont="1" applyFill="1" applyBorder="1"/>
    <xf numFmtId="11" fontId="6" fillId="10" borderId="16" xfId="0" applyNumberFormat="1" applyFont="1" applyFill="1" applyBorder="1"/>
    <xf numFmtId="2" fontId="6" fillId="10" borderId="16" xfId="0" applyNumberFormat="1" applyFont="1" applyFill="1" applyBorder="1"/>
    <xf numFmtId="0" fontId="14" fillId="0" borderId="0" xfId="0" applyFont="1"/>
    <xf numFmtId="0" fontId="7" fillId="0" borderId="0" xfId="0" applyFont="1" applyAlignment="1">
      <alignment horizontal="right"/>
    </xf>
    <xf numFmtId="0" fontId="17" fillId="0" borderId="0" xfId="0" applyFont="1"/>
    <xf numFmtId="2" fontId="7" fillId="0" borderId="0" xfId="0" applyNumberFormat="1" applyFont="1"/>
    <xf numFmtId="164" fontId="17" fillId="0" borderId="0" xfId="0" applyNumberFormat="1" applyFont="1"/>
    <xf numFmtId="0" fontId="19" fillId="7" borderId="15" xfId="0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F0FF"/>
      <color rgb="FFE5EFFF"/>
      <color rgb="FFFF8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736600</xdr:colOff>
      <xdr:row>2</xdr:row>
      <xdr:rowOff>114300</xdr:rowOff>
    </xdr:from>
    <xdr:ext cx="8775700" cy="1995546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C922E8-68D9-974B-85BD-5C1E7074A3F7}"/>
            </a:ext>
          </a:extLst>
        </xdr:cNvPr>
        <xdr:cNvSpPr txBox="1">
          <a:spLocks noChangeArrowheads="1"/>
        </xdr:cNvSpPr>
      </xdr:nvSpPr>
      <xdr:spPr bwMode="auto">
        <a:xfrm>
          <a:off x="736600" y="444500"/>
          <a:ext cx="8775700" cy="19955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These calculations are done using Kress and Carmichael 1991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Equation 7, which takes into account the effect of pressure: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ea typeface="Verdana"/>
            <a:cs typeface="Verdana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ln(XFe2O3/XFeO) = a*ln(fO2)+(b/T)+c+SUM(di*Xi)+ e * [1 - To/T - ln(T/To)] + f*(P/T) + g* ((T-To)*P/T) + h*(P^2/T)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ea typeface="Verdana"/>
            <a:cs typeface="Verdana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Calculations of logfO2 are from Reviews in Mineralogy Volume 25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logfO2 = A/T + B + C(P-1)/T (see table below for parameter values)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+mn-lt"/>
            <a:ea typeface="Verdana"/>
            <a:cs typeface="Verdana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+mn-lt"/>
              <a:ea typeface="Verdana"/>
              <a:cs typeface="Verdana"/>
            </a:rPr>
            <a:t>Input and output values are in wt%</a:t>
          </a:r>
        </a:p>
      </xdr:txBody>
    </xdr:sp>
    <xdr:clientData/>
  </xdr:oneCellAnchor>
  <xdr:twoCellAnchor editAs="oneCell">
    <xdr:from>
      <xdr:col>12</xdr:col>
      <xdr:colOff>241300</xdr:colOff>
      <xdr:row>2</xdr:row>
      <xdr:rowOff>63500</xdr:rowOff>
    </xdr:from>
    <xdr:to>
      <xdr:col>19</xdr:col>
      <xdr:colOff>558800</xdr:colOff>
      <xdr:row>38</xdr:row>
      <xdr:rowOff>12700</xdr:rowOff>
    </xdr:to>
    <xdr:pic>
      <xdr:nvPicPr>
        <xdr:cNvPr id="4148" name="Picture 2" descr="table003.jpg">
          <a:extLst>
            <a:ext uri="{FF2B5EF4-FFF2-40B4-BE49-F238E27FC236}">
              <a16:creationId xmlns:a16="http://schemas.microsoft.com/office/drawing/2014/main" id="{CADBD238-0BB5-D847-A106-FB4FB0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300" y="393700"/>
          <a:ext cx="6096000" cy="589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723900</xdr:colOff>
      <xdr:row>15</xdr:row>
      <xdr:rowOff>76200</xdr:rowOff>
    </xdr:from>
    <xdr:to>
      <xdr:col>9</xdr:col>
      <xdr:colOff>812800</xdr:colOff>
      <xdr:row>26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E6778E-D089-8D48-935C-FEF5DF8A871D}"/>
            </a:ext>
          </a:extLst>
        </xdr:cNvPr>
        <xdr:cNvSpPr txBox="1"/>
      </xdr:nvSpPr>
      <xdr:spPr>
        <a:xfrm>
          <a:off x="723900" y="2552700"/>
          <a:ext cx="751840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Citations:</a:t>
          </a:r>
        </a:p>
        <a:p>
          <a:r>
            <a:rPr lang="en-US" sz="1400"/>
            <a:t>Kress, V.C. and Carmichael, I.S.E. (1991) The Compressibility of silicate liquids contatining Fe2O3 and the effect of composition, temperature, oxygen fugacity and pressure on their redox states. </a:t>
          </a:r>
          <a:r>
            <a:rPr lang="en-US" sz="1400" i="1"/>
            <a:t>Contrib.</a:t>
          </a:r>
          <a:r>
            <a:rPr lang="en-US" sz="1400" i="1" baseline="0"/>
            <a:t> Mineral. Petrol. </a:t>
          </a:r>
          <a:r>
            <a:rPr lang="en-US" sz="1400" i="0" baseline="0"/>
            <a:t>108, 82-92</a:t>
          </a:r>
        </a:p>
        <a:p>
          <a:endParaRPr lang="en-US" sz="1400" i="0" baseline="0"/>
        </a:p>
        <a:p>
          <a:r>
            <a:rPr lang="en-US" sz="1400" i="0" baseline="0"/>
            <a:t>Frost, B.R. (1991) Introduction to oxygen fugacity and its petrologic importance. </a:t>
          </a:r>
          <a:r>
            <a:rPr lang="en-US" sz="1400" i="1" baseline="0"/>
            <a:t>Reviews in Mineralogy and Geochemistry</a:t>
          </a:r>
          <a:r>
            <a:rPr lang="en-US" sz="1400" i="0" baseline="0"/>
            <a:t> 25(1), 1-9</a:t>
          </a:r>
        </a:p>
        <a:p>
          <a:endParaRPr lang="en-US" sz="1400" i="0" baseline="0"/>
        </a:p>
        <a:p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N30"/>
  <sheetViews>
    <sheetView zoomScale="130" zoomScaleNormal="130" workbookViewId="0">
      <selection activeCell="J6" sqref="J6"/>
    </sheetView>
  </sheetViews>
  <sheetFormatPr baseColWidth="10" defaultRowHeight="14" x14ac:dyDescent="0.15"/>
  <cols>
    <col min="1" max="1" width="9.1640625" style="2" customWidth="1"/>
    <col min="2" max="2" width="12.1640625" style="2" customWidth="1"/>
    <col min="3" max="3" width="9.5" style="2" customWidth="1"/>
    <col min="4" max="4" width="12.6640625" style="2" customWidth="1"/>
    <col min="5" max="5" width="10.5" style="2" customWidth="1"/>
    <col min="6" max="6" width="13.33203125" style="2" customWidth="1"/>
    <col min="7" max="7" width="14.1640625" style="2" customWidth="1"/>
    <col min="8" max="8" width="10.33203125" style="2" customWidth="1"/>
    <col min="9" max="9" width="18.83203125" style="2" customWidth="1"/>
    <col min="10" max="10" width="14.83203125" style="2" customWidth="1"/>
    <col min="11" max="11" width="7.5" style="2" customWidth="1"/>
    <col min="12" max="12" width="19" style="2" customWidth="1"/>
    <col min="13" max="13" width="17.6640625" style="2" customWidth="1"/>
    <col min="14" max="16384" width="10.83203125" style="2"/>
  </cols>
  <sheetData>
    <row r="1" spans="2:14" ht="15" thickBot="1" x14ac:dyDescent="0.2"/>
    <row r="2" spans="2:14" x14ac:dyDescent="0.15">
      <c r="B2" s="110" t="s">
        <v>24</v>
      </c>
      <c r="C2" s="119"/>
      <c r="D2" s="119"/>
      <c r="E2" s="111"/>
      <c r="I2" s="108" t="s">
        <v>25</v>
      </c>
      <c r="J2" s="114"/>
      <c r="K2" s="115"/>
      <c r="L2" s="114"/>
      <c r="M2" s="109"/>
    </row>
    <row r="3" spans="2:14" x14ac:dyDescent="0.15">
      <c r="B3" s="17" t="s">
        <v>31</v>
      </c>
      <c r="C3" s="18" t="s">
        <v>40</v>
      </c>
      <c r="D3" s="18" t="s">
        <v>36</v>
      </c>
      <c r="E3" s="19" t="s">
        <v>38</v>
      </c>
      <c r="I3" s="88" t="s">
        <v>20</v>
      </c>
      <c r="J3" s="20">
        <f>(Parameters!B4*LN(C8))+(Parameters!C4/B8)+Parameters!D4+((Parameters!E4*G14)+(Parameters!F4*G16)+(Parameters!G4*G19)+(Parameters!H4*G20)+(Parameters!I4*G21)) + Parameters!J4*(1-(Parameters!N4/'fO2 to Ferric-Ferris'!B8) - LN('fO2 to Ferric-Ferris'!B8/Parameters!N4)) + Parameters!K4*('fO2 to Ferric-Ferris'!D8/'fO2 to Ferric-Ferris'!B8) + Parameters!L4*((('fO2 to Ferric-Ferris'!B8-Parameters!N4)*'fO2 to Ferric-Ferris'!D8)/'fO2 to Ferric-Ferris'!B8) + Parameters!M4*('fO2 to Ferric-Ferris'!D8^2/'fO2 to Ferric-Ferris'!B8)</f>
        <v>-3.6376642686773768</v>
      </c>
      <c r="K3" s="21"/>
      <c r="L3" s="89" t="s">
        <v>41</v>
      </c>
      <c r="M3" s="23">
        <f>2*J5</f>
        <v>2.9640362498800799E-3</v>
      </c>
    </row>
    <row r="4" spans="2:14" ht="15" thickBot="1" x14ac:dyDescent="0.2">
      <c r="B4" s="24">
        <v>900</v>
      </c>
      <c r="C4" s="25">
        <v>1</v>
      </c>
      <c r="D4" s="25" t="s">
        <v>34</v>
      </c>
      <c r="E4" s="26">
        <v>-2.8</v>
      </c>
      <c r="I4" s="88" t="s">
        <v>21</v>
      </c>
      <c r="J4" s="20">
        <f>EXP(J3)</f>
        <v>2.6313734055248256E-2</v>
      </c>
      <c r="K4" s="27"/>
      <c r="L4" s="89" t="s">
        <v>42</v>
      </c>
      <c r="M4" s="23">
        <f>J6</f>
        <v>5.6321087757001648E-2</v>
      </c>
    </row>
    <row r="5" spans="2:14" ht="15" thickBot="1" x14ac:dyDescent="0.2">
      <c r="I5" s="88" t="s">
        <v>22</v>
      </c>
      <c r="J5" s="20">
        <f>J4*G16/(2*J4+1)</f>
        <v>1.48201812494004E-3</v>
      </c>
      <c r="K5" s="27"/>
      <c r="L5" s="22" t="s">
        <v>43</v>
      </c>
      <c r="M5" s="91">
        <f>M3/(M3+M4)</f>
        <v>4.9996289955234287E-2</v>
      </c>
    </row>
    <row r="6" spans="2:14" ht="15" thickBot="1" x14ac:dyDescent="0.2">
      <c r="B6" s="116" t="s">
        <v>49</v>
      </c>
      <c r="C6" s="117"/>
      <c r="D6" s="118"/>
      <c r="I6" s="90" t="s">
        <v>23</v>
      </c>
      <c r="J6" s="28">
        <f>G16/(1+2*J4)</f>
        <v>5.6321087757001648E-2</v>
      </c>
      <c r="K6" s="29"/>
      <c r="L6" s="30"/>
      <c r="M6" s="31"/>
    </row>
    <row r="7" spans="2:14" x14ac:dyDescent="0.15">
      <c r="B7" s="32" t="s">
        <v>18</v>
      </c>
      <c r="C7" s="33" t="s">
        <v>37</v>
      </c>
      <c r="D7" s="34" t="s">
        <v>48</v>
      </c>
    </row>
    <row r="8" spans="2:14" ht="15" thickBot="1" x14ac:dyDescent="0.2">
      <c r="B8" s="35">
        <f>B4+273.15</f>
        <v>1173.1500000000001</v>
      </c>
      <c r="C8" s="36">
        <f>IF(D4="NNO", 10^((Parameters!C10/B8)+Parameters!D10+(Parameters!E10*(C4-1)/B8)+E4), IF(D4="QFM", 10^((Parameters!C9/B8)+Parameters!D9+(Parameters!E9*(C4-1)/B8)+E4), "ERROR"))</f>
        <v>3.4895177991325425E-16</v>
      </c>
      <c r="D8" s="37">
        <f>100000*C4</f>
        <v>100000</v>
      </c>
    </row>
    <row r="9" spans="2:14" ht="15" thickBot="1" x14ac:dyDescent="0.2"/>
    <row r="10" spans="2:14" x14ac:dyDescent="0.15">
      <c r="B10" s="103" t="s">
        <v>50</v>
      </c>
      <c r="C10" s="104"/>
      <c r="D10" s="105" t="s">
        <v>49</v>
      </c>
      <c r="E10" s="106"/>
      <c r="F10" s="106"/>
      <c r="G10" s="107"/>
      <c r="I10" s="108" t="s">
        <v>51</v>
      </c>
      <c r="J10" s="114"/>
      <c r="K10" s="114"/>
      <c r="L10" s="114"/>
      <c r="M10" s="109"/>
    </row>
    <row r="11" spans="2:14" x14ac:dyDescent="0.15">
      <c r="B11" s="38"/>
      <c r="C11" s="39" t="s">
        <v>27</v>
      </c>
      <c r="D11" s="40" t="s">
        <v>39</v>
      </c>
      <c r="E11" s="41" t="s">
        <v>30</v>
      </c>
      <c r="F11" s="41" t="s">
        <v>29</v>
      </c>
      <c r="G11" s="42" t="s">
        <v>28</v>
      </c>
      <c r="I11" s="43"/>
      <c r="J11" s="44" t="s">
        <v>28</v>
      </c>
      <c r="K11" s="45" t="s">
        <v>33</v>
      </c>
      <c r="L11" s="44" t="s">
        <v>27</v>
      </c>
      <c r="M11" s="46" t="s">
        <v>32</v>
      </c>
    </row>
    <row r="12" spans="2:14" ht="15" x14ac:dyDescent="0.2">
      <c r="B12" s="47" t="s">
        <v>0</v>
      </c>
      <c r="C12" s="48">
        <v>44.71</v>
      </c>
      <c r="D12" s="49">
        <f>C12*100/C$23</f>
        <v>46.374013691318176</v>
      </c>
      <c r="E12" s="50">
        <v>60.09</v>
      </c>
      <c r="F12" s="50">
        <f>D12/E12</f>
        <v>0.77174261426723534</v>
      </c>
      <c r="G12" s="51">
        <f>F12/F23</f>
        <v>0.39310859493815242</v>
      </c>
      <c r="I12" s="52" t="s">
        <v>0</v>
      </c>
      <c r="J12" s="20">
        <f>G12</f>
        <v>0.39310859493815242</v>
      </c>
      <c r="K12" s="53">
        <f t="shared" ref="K12:K22" si="0">J12*E12</f>
        <v>23.621895469833582</v>
      </c>
      <c r="L12" s="54">
        <f>C12</f>
        <v>44.71</v>
      </c>
      <c r="M12" s="55">
        <f>100*K12/$K$23</f>
        <v>46.352435948986681</v>
      </c>
      <c r="N12" s="76"/>
    </row>
    <row r="13" spans="2:14" ht="15" x14ac:dyDescent="0.2">
      <c r="B13" s="47" t="s">
        <v>1</v>
      </c>
      <c r="C13" s="48">
        <v>0.13</v>
      </c>
      <c r="D13" s="49">
        <f>C13*100/C$23</f>
        <v>0.13483833101926554</v>
      </c>
      <c r="E13" s="50">
        <v>79.900000000000006</v>
      </c>
      <c r="F13" s="50">
        <f t="shared" ref="F13:F22" si="1">D13/E13</f>
        <v>1.6875886235202195E-3</v>
      </c>
      <c r="G13" s="51">
        <f>F13/F23</f>
        <v>8.5962026764006491E-4</v>
      </c>
      <c r="I13" s="52" t="s">
        <v>1</v>
      </c>
      <c r="J13" s="20">
        <f>G13</f>
        <v>8.5962026764006491E-4</v>
      </c>
      <c r="K13" s="56">
        <f t="shared" si="0"/>
        <v>6.8683659384441195E-2</v>
      </c>
      <c r="L13" s="54">
        <f>C13</f>
        <v>0.13</v>
      </c>
      <c r="M13" s="55">
        <f t="shared" ref="M13:M22" si="2">100*K13/$K$23</f>
        <v>0.13477559099459338</v>
      </c>
      <c r="N13" s="76"/>
    </row>
    <row r="14" spans="2:14" ht="15" x14ac:dyDescent="0.2">
      <c r="B14" s="47" t="s">
        <v>2</v>
      </c>
      <c r="C14" s="48">
        <v>1.33</v>
      </c>
      <c r="D14" s="49">
        <f>C14*100/C$23</f>
        <v>1.3794998481201783</v>
      </c>
      <c r="E14" s="50">
        <v>102</v>
      </c>
      <c r="F14" s="50">
        <f t="shared" si="1"/>
        <v>1.352450831490371E-2</v>
      </c>
      <c r="G14" s="51">
        <f>F14/F23</f>
        <v>6.8890849910487779E-3</v>
      </c>
      <c r="I14" s="52" t="s">
        <v>2</v>
      </c>
      <c r="J14" s="20">
        <f>G14</f>
        <v>6.8890849910487779E-3</v>
      </c>
      <c r="K14" s="56">
        <f t="shared" si="0"/>
        <v>0.7026866690869753</v>
      </c>
      <c r="L14" s="54">
        <f>C14</f>
        <v>1.33</v>
      </c>
      <c r="M14" s="55">
        <f t="shared" si="2"/>
        <v>1.3788579694062244</v>
      </c>
      <c r="N14" s="76"/>
    </row>
    <row r="15" spans="2:14" ht="15" x14ac:dyDescent="0.2">
      <c r="B15" s="47" t="s">
        <v>26</v>
      </c>
      <c r="C15" s="48"/>
      <c r="D15" s="57"/>
      <c r="E15" s="50">
        <v>159.6</v>
      </c>
      <c r="F15" s="50"/>
      <c r="G15" s="51"/>
      <c r="I15" s="52" t="s">
        <v>26</v>
      </c>
      <c r="J15" s="20">
        <f>J5</f>
        <v>1.48201812494004E-3</v>
      </c>
      <c r="K15" s="56">
        <f t="shared" si="0"/>
        <v>0.23653009274043038</v>
      </c>
      <c r="L15" s="54">
        <f>K15*100/$K$23</f>
        <v>0.46413489500704835</v>
      </c>
      <c r="M15" s="55">
        <f t="shared" si="2"/>
        <v>0.46413489500704835</v>
      </c>
      <c r="N15" s="76"/>
    </row>
    <row r="16" spans="2:14" ht="15" x14ac:dyDescent="0.2">
      <c r="B16" s="47" t="s">
        <v>58</v>
      </c>
      <c r="C16" s="48">
        <f>6.95+1.23*0.8998</f>
        <v>8.0567539999999997</v>
      </c>
      <c r="D16" s="57">
        <f>(C16+0.8998*C15)*100/C23</f>
        <v>8.3566097137907054</v>
      </c>
      <c r="E16" s="50">
        <v>71.8</v>
      </c>
      <c r="F16" s="50">
        <f t="shared" si="1"/>
        <v>0.11638732191909061</v>
      </c>
      <c r="G16" s="51">
        <f>F16/F23</f>
        <v>5.9285124006881733E-2</v>
      </c>
      <c r="I16" s="52" t="s">
        <v>3</v>
      </c>
      <c r="J16" s="20">
        <f>J6</f>
        <v>5.6321087757001648E-2</v>
      </c>
      <c r="K16" s="56">
        <f t="shared" si="0"/>
        <v>4.0438541009527178</v>
      </c>
      <c r="L16" s="54">
        <f>K16*100/$K$23</f>
        <v>7.9351163178599293</v>
      </c>
      <c r="M16" s="55">
        <f t="shared" si="2"/>
        <v>7.9351163178599293</v>
      </c>
      <c r="N16" s="76"/>
    </row>
    <row r="17" spans="2:14" ht="15" x14ac:dyDescent="0.2">
      <c r="B17" s="47" t="s">
        <v>4</v>
      </c>
      <c r="C17" s="48">
        <v>0.13</v>
      </c>
      <c r="D17" s="49">
        <f t="shared" ref="D17:D22" si="3">C17*100/C$23</f>
        <v>0.13483833101926554</v>
      </c>
      <c r="E17" s="50">
        <v>71</v>
      </c>
      <c r="F17" s="50">
        <f t="shared" si="1"/>
        <v>1.899131422806557E-3</v>
      </c>
      <c r="G17" s="51">
        <f>F17/F23</f>
        <v>9.6737548428790408E-4</v>
      </c>
      <c r="I17" s="52" t="s">
        <v>4</v>
      </c>
      <c r="J17" s="20">
        <f t="shared" ref="J17:J22" si="4">G17</f>
        <v>9.6737548428790408E-4</v>
      </c>
      <c r="K17" s="56">
        <f t="shared" si="0"/>
        <v>6.8683659384441195E-2</v>
      </c>
      <c r="L17" s="54">
        <f t="shared" ref="L17:L22" si="5">C17</f>
        <v>0.13</v>
      </c>
      <c r="M17" s="55">
        <f t="shared" si="2"/>
        <v>0.13477559099459338</v>
      </c>
      <c r="N17" s="76"/>
    </row>
    <row r="18" spans="2:14" ht="15" x14ac:dyDescent="0.2">
      <c r="B18" s="47" t="s">
        <v>5</v>
      </c>
      <c r="C18" s="48">
        <v>38.729999999999997</v>
      </c>
      <c r="D18" s="49">
        <f t="shared" si="3"/>
        <v>40.171450464431956</v>
      </c>
      <c r="E18" s="50">
        <v>40.299999999999997</v>
      </c>
      <c r="F18" s="50">
        <f t="shared" si="1"/>
        <v>0.99681018522163667</v>
      </c>
      <c r="G18" s="51">
        <f>F18/F23</f>
        <v>0.50775303072330735</v>
      </c>
      <c r="I18" s="52" t="s">
        <v>5</v>
      </c>
      <c r="J18" s="20">
        <f t="shared" si="4"/>
        <v>0.50775303072330735</v>
      </c>
      <c r="K18" s="56">
        <f t="shared" si="0"/>
        <v>20.462447138149283</v>
      </c>
      <c r="L18" s="54">
        <f t="shared" si="5"/>
        <v>38.729999999999997</v>
      </c>
      <c r="M18" s="55">
        <f t="shared" si="2"/>
        <v>40.152758763235383</v>
      </c>
      <c r="N18" s="76"/>
    </row>
    <row r="19" spans="2:14" ht="15" x14ac:dyDescent="0.2">
      <c r="B19" s="47" t="s">
        <v>6</v>
      </c>
      <c r="C19" s="48">
        <v>3.17</v>
      </c>
      <c r="D19" s="49">
        <f t="shared" si="3"/>
        <v>3.2879808410082445</v>
      </c>
      <c r="E19" s="50">
        <v>56.1</v>
      </c>
      <c r="F19" s="50">
        <f t="shared" si="1"/>
        <v>5.8609284153444643E-2</v>
      </c>
      <c r="G19" s="51">
        <f>F19/F23</f>
        <v>2.9854271253075354E-2</v>
      </c>
      <c r="I19" s="52" t="s">
        <v>6</v>
      </c>
      <c r="J19" s="20">
        <f t="shared" si="4"/>
        <v>2.9854271253075354E-2</v>
      </c>
      <c r="K19" s="56">
        <f t="shared" si="0"/>
        <v>1.6748246172975274</v>
      </c>
      <c r="L19" s="54">
        <f t="shared" si="5"/>
        <v>3.17</v>
      </c>
      <c r="M19" s="55">
        <f t="shared" si="2"/>
        <v>3.2864509496373917</v>
      </c>
      <c r="N19" s="76"/>
    </row>
    <row r="20" spans="2:14" ht="15" x14ac:dyDescent="0.2">
      <c r="B20" s="47" t="s">
        <v>7</v>
      </c>
      <c r="C20" s="48">
        <v>0.13</v>
      </c>
      <c r="D20" s="49">
        <f t="shared" si="3"/>
        <v>0.13483833101926554</v>
      </c>
      <c r="E20" s="50">
        <v>62</v>
      </c>
      <c r="F20" s="50">
        <f t="shared" si="1"/>
        <v>2.1748117906333153E-3</v>
      </c>
      <c r="G20" s="51">
        <f>F20/F23</f>
        <v>1.1078009578135675E-3</v>
      </c>
      <c r="I20" s="52" t="s">
        <v>7</v>
      </c>
      <c r="J20" s="20">
        <f t="shared" si="4"/>
        <v>1.1078009578135675E-3</v>
      </c>
      <c r="K20" s="56">
        <f t="shared" si="0"/>
        <v>6.8683659384441181E-2</v>
      </c>
      <c r="L20" s="54">
        <f t="shared" si="5"/>
        <v>0.13</v>
      </c>
      <c r="M20" s="55">
        <f t="shared" si="2"/>
        <v>0.13477559099459335</v>
      </c>
      <c r="N20" s="76"/>
    </row>
    <row r="21" spans="2:14" ht="15" x14ac:dyDescent="0.2">
      <c r="B21" s="47" t="s">
        <v>8</v>
      </c>
      <c r="C21" s="48">
        <v>6.0000000000000001E-3</v>
      </c>
      <c r="D21" s="49">
        <f t="shared" si="3"/>
        <v>6.2233075855045641E-3</v>
      </c>
      <c r="E21" s="50">
        <v>94.2</v>
      </c>
      <c r="F21" s="50">
        <f t="shared" si="1"/>
        <v>6.6064836364167345E-5</v>
      </c>
      <c r="G21" s="51">
        <f>F21/F23</f>
        <v>3.3651964421578243E-5</v>
      </c>
      <c r="I21" s="52" t="s">
        <v>8</v>
      </c>
      <c r="J21" s="20">
        <f t="shared" si="4"/>
        <v>3.3651964421578243E-5</v>
      </c>
      <c r="K21" s="56">
        <f t="shared" si="0"/>
        <v>3.1700150485126704E-3</v>
      </c>
      <c r="L21" s="54">
        <f t="shared" si="5"/>
        <v>6.0000000000000001E-3</v>
      </c>
      <c r="M21" s="55">
        <f t="shared" si="2"/>
        <v>6.2204118920581551E-3</v>
      </c>
      <c r="N21" s="76"/>
    </row>
    <row r="22" spans="2:14" ht="16" thickBot="1" x14ac:dyDescent="0.25">
      <c r="B22" s="58" t="s">
        <v>9</v>
      </c>
      <c r="C22" s="59">
        <v>1.9E-2</v>
      </c>
      <c r="D22" s="60">
        <f t="shared" si="3"/>
        <v>1.9707140687431117E-2</v>
      </c>
      <c r="E22" s="61">
        <v>70.97</v>
      </c>
      <c r="F22" s="61">
        <f t="shared" si="1"/>
        <v>2.7768269250994952E-4</v>
      </c>
      <c r="G22" s="62">
        <f>F22/F23</f>
        <v>1.4144541337123839E-4</v>
      </c>
      <c r="I22" s="63" t="s">
        <v>9</v>
      </c>
      <c r="J22" s="64">
        <f t="shared" si="4"/>
        <v>1.4144541337123839E-4</v>
      </c>
      <c r="K22" s="56">
        <f t="shared" si="0"/>
        <v>1.0038380986956788E-2</v>
      </c>
      <c r="L22" s="65">
        <f t="shared" si="5"/>
        <v>1.9E-2</v>
      </c>
      <c r="M22" s="55">
        <f t="shared" si="2"/>
        <v>1.9697970991517488E-2</v>
      </c>
      <c r="N22" s="76"/>
    </row>
    <row r="23" spans="2:14" ht="15" thickBot="1" x14ac:dyDescent="0.2">
      <c r="B23" s="66" t="s">
        <v>19</v>
      </c>
      <c r="C23" s="67">
        <f>SUM(C12:C22)</f>
        <v>96.411754000000002</v>
      </c>
      <c r="D23" s="68">
        <f>SUM(D12:D22)</f>
        <v>100</v>
      </c>
      <c r="E23" s="69"/>
      <c r="F23" s="70">
        <f>SUM(F12:F22)</f>
        <v>1.9631791932421452</v>
      </c>
      <c r="G23" s="71">
        <f>SUM(G12:G22)</f>
        <v>1</v>
      </c>
      <c r="I23" s="66" t="s">
        <v>19</v>
      </c>
      <c r="J23" s="72">
        <f>SUM(J12:J22)</f>
        <v>0.99851798187506013</v>
      </c>
      <c r="K23" s="73">
        <f>SUM(K12:K22)</f>
        <v>50.961497462249298</v>
      </c>
      <c r="L23" s="72">
        <f>SUM(L12:L22)</f>
        <v>96.754251212866976</v>
      </c>
      <c r="M23" s="74">
        <f>SUM(M12:M22)</f>
        <v>100.00000000000003</v>
      </c>
    </row>
    <row r="24" spans="2:14" x14ac:dyDescent="0.15">
      <c r="I24" s="75" t="s">
        <v>59</v>
      </c>
    </row>
    <row r="28" spans="2:14" x14ac:dyDescent="0.15">
      <c r="M28" s="76"/>
    </row>
    <row r="30" spans="2:14" x14ac:dyDescent="0.15">
      <c r="J30" s="76"/>
      <c r="K30" s="76"/>
    </row>
  </sheetData>
  <mergeCells count="6">
    <mergeCell ref="I2:M2"/>
    <mergeCell ref="I10:M10"/>
    <mergeCell ref="B6:D6"/>
    <mergeCell ref="B2:E2"/>
    <mergeCell ref="B10:C10"/>
    <mergeCell ref="D10:G10"/>
  </mergeCells>
  <phoneticPr fontId="2"/>
  <pageMargins left="0.75" right="0.75" top="1" bottom="1" header="0.5" footer="0.5"/>
  <pageSetup orientation="portrait" horizontalDpi="4294967292" verticalDpi="4294967292"/>
  <headerFooter alignWithMargins="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Parameters!$B$9:$B$10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0"/>
  <sheetViews>
    <sheetView tabSelected="1" topLeftCell="A7" zoomScale="126" zoomScaleNormal="126" workbookViewId="0">
      <selection activeCell="C17" sqref="C17:C22"/>
    </sheetView>
  </sheetViews>
  <sheetFormatPr baseColWidth="10" defaultRowHeight="14" x14ac:dyDescent="0.15"/>
  <cols>
    <col min="1" max="1" width="7.83203125" style="2" customWidth="1"/>
    <col min="2" max="2" width="12.1640625" style="2" customWidth="1"/>
    <col min="3" max="3" width="11.33203125" style="2" customWidth="1"/>
    <col min="4" max="4" width="12.6640625" style="2" customWidth="1"/>
    <col min="5" max="5" width="10.5" style="2" customWidth="1"/>
    <col min="6" max="6" width="13.33203125" style="2" customWidth="1"/>
    <col min="7" max="7" width="13.83203125" style="2" customWidth="1"/>
    <col min="8" max="8" width="10.33203125" style="2" customWidth="1"/>
    <col min="9" max="9" width="18" style="2" customWidth="1"/>
    <col min="10" max="10" width="17.5" style="2" customWidth="1"/>
    <col min="11" max="11" width="7.5" style="2" customWidth="1"/>
    <col min="12" max="12" width="21" style="2" customWidth="1"/>
    <col min="13" max="13" width="18.83203125" style="2" customWidth="1"/>
    <col min="14" max="16384" width="10.83203125" style="2"/>
  </cols>
  <sheetData>
    <row r="1" spans="2:13" ht="15" thickBot="1" x14ac:dyDescent="0.2"/>
    <row r="2" spans="2:13" x14ac:dyDescent="0.15">
      <c r="B2" s="110" t="s">
        <v>24</v>
      </c>
      <c r="C2" s="111"/>
      <c r="D2" s="80"/>
      <c r="E2" s="80"/>
      <c r="K2" s="77"/>
      <c r="L2" s="77"/>
      <c r="M2" s="77"/>
    </row>
    <row r="3" spans="2:13" x14ac:dyDescent="0.15">
      <c r="B3" s="17" t="s">
        <v>31</v>
      </c>
      <c r="C3" s="84" t="s">
        <v>40</v>
      </c>
      <c r="D3" s="81"/>
      <c r="E3" s="82"/>
      <c r="K3" s="78"/>
      <c r="L3" s="77"/>
      <c r="M3" s="76"/>
    </row>
    <row r="4" spans="2:13" ht="15" thickBot="1" x14ac:dyDescent="0.2">
      <c r="B4" s="24">
        <v>1100</v>
      </c>
      <c r="C4" s="26">
        <v>2068</v>
      </c>
      <c r="D4" s="83"/>
      <c r="E4" s="83"/>
      <c r="K4" s="78"/>
      <c r="L4" s="77"/>
      <c r="M4" s="76"/>
    </row>
    <row r="5" spans="2:13" ht="15" thickBot="1" x14ac:dyDescent="0.2">
      <c r="K5" s="78"/>
    </row>
    <row r="6" spans="2:13" x14ac:dyDescent="0.15">
      <c r="B6" s="112" t="s">
        <v>49</v>
      </c>
      <c r="C6" s="113"/>
      <c r="D6" s="80"/>
      <c r="K6" s="78"/>
    </row>
    <row r="7" spans="2:13" x14ac:dyDescent="0.15">
      <c r="B7" s="32" t="s">
        <v>18</v>
      </c>
      <c r="C7" s="34" t="s">
        <v>48</v>
      </c>
      <c r="I7" s="95">
        <f>LOG(J14)</f>
        <v>-10.63412497932017</v>
      </c>
    </row>
    <row r="8" spans="2:13" ht="15" thickBot="1" x14ac:dyDescent="0.2">
      <c r="B8" s="35">
        <f>B4+273.15</f>
        <v>1373.15</v>
      </c>
      <c r="C8" s="37">
        <f>100000*C4</f>
        <v>206800000</v>
      </c>
    </row>
    <row r="9" spans="2:13" ht="15" thickBot="1" x14ac:dyDescent="0.2"/>
    <row r="10" spans="2:13" x14ac:dyDescent="0.15">
      <c r="B10" s="103" t="s">
        <v>50</v>
      </c>
      <c r="C10" s="104"/>
      <c r="D10" s="105" t="s">
        <v>49</v>
      </c>
      <c r="E10" s="106"/>
      <c r="F10" s="106"/>
      <c r="G10" s="107"/>
      <c r="I10" s="77"/>
      <c r="J10" s="77"/>
      <c r="K10" s="77"/>
      <c r="L10" s="77"/>
      <c r="M10" s="77"/>
    </row>
    <row r="11" spans="2:13" ht="15" thickBot="1" x14ac:dyDescent="0.2">
      <c r="B11" s="38"/>
      <c r="C11" s="85" t="s">
        <v>27</v>
      </c>
      <c r="D11" s="40" t="s">
        <v>60</v>
      </c>
      <c r="E11" s="41" t="s">
        <v>30</v>
      </c>
      <c r="F11" s="41" t="s">
        <v>29</v>
      </c>
      <c r="G11" s="42" t="s">
        <v>28</v>
      </c>
      <c r="J11" s="77"/>
      <c r="K11" s="94"/>
      <c r="L11" s="77"/>
      <c r="M11" s="77"/>
    </row>
    <row r="12" spans="2:13" ht="15" x14ac:dyDescent="0.2">
      <c r="B12" s="47" t="s">
        <v>0</v>
      </c>
      <c r="C12" s="48">
        <v>50.19307692307693</v>
      </c>
      <c r="D12" s="49">
        <f t="shared" ref="D12:D22" si="0">C12*100/C$23</f>
        <v>52.095631701404486</v>
      </c>
      <c r="E12" s="50">
        <v>60.09</v>
      </c>
      <c r="F12" s="50">
        <f>D12/E12</f>
        <v>0.86696008822440473</v>
      </c>
      <c r="G12" s="51">
        <f>F12/F23</f>
        <v>0.53532062124269653</v>
      </c>
      <c r="I12" s="108" t="s">
        <v>25</v>
      </c>
      <c r="J12" s="109"/>
      <c r="K12" s="96"/>
      <c r="L12" s="97"/>
      <c r="M12" s="97"/>
    </row>
    <row r="13" spans="2:13" ht="15" x14ac:dyDescent="0.2">
      <c r="B13" s="47" t="s">
        <v>1</v>
      </c>
      <c r="C13" s="48">
        <v>2.3409230769230769</v>
      </c>
      <c r="D13" s="49">
        <f t="shared" si="0"/>
        <v>2.4296551224305238</v>
      </c>
      <c r="E13" s="50">
        <v>79.900000000000006</v>
      </c>
      <c r="F13" s="50">
        <f t="shared" ref="F13:F22" si="1">D13/E13</f>
        <v>3.0408699905263126E-2</v>
      </c>
      <c r="G13" s="51">
        <f>F13/F23</f>
        <v>1.8776416983401743E-2</v>
      </c>
      <c r="I13" s="52" t="s">
        <v>61</v>
      </c>
      <c r="J13" s="23">
        <f>-(1/Parameters!B4)*((Parameters!C4/B8)+Parameters!D4+((Parameters!E4*G14)+(Parameters!F4*(G16+G15*0.8998))+(Parameters!G4*G19)+(Parameters!H4*G20)+(Parameters!I4*G21)) + Parameters!J4*(1-(Parameters!N4/B8) - LN(B8/Parameters!N4)) + Parameters!K4*(C8/B8) + Parameters!L4*(((B8-Parameters!N4)*C8)/B8) + Parameters!M4*(C8^2/B8)-LN(G15/G16))</f>
        <v>-24.485977654418235</v>
      </c>
      <c r="K13" s="96"/>
      <c r="L13" s="97"/>
      <c r="M13" s="97"/>
    </row>
    <row r="14" spans="2:13" ht="15" x14ac:dyDescent="0.2">
      <c r="B14" s="47" t="s">
        <v>2</v>
      </c>
      <c r="C14" s="48">
        <v>12.794384615384615</v>
      </c>
      <c r="D14" s="49">
        <f t="shared" si="0"/>
        <v>13.279352245941828</v>
      </c>
      <c r="E14" s="50">
        <v>102</v>
      </c>
      <c r="F14" s="50">
        <f t="shared" si="1"/>
        <v>0.13018972790139047</v>
      </c>
      <c r="G14" s="51">
        <f>F14/F23</f>
        <v>8.0388067416490475E-2</v>
      </c>
      <c r="I14" s="86" t="s">
        <v>37</v>
      </c>
      <c r="J14" s="92">
        <f>EXP(J13)</f>
        <v>2.3220684657379573E-11</v>
      </c>
      <c r="K14" s="96"/>
      <c r="L14" s="97"/>
      <c r="M14" s="97"/>
    </row>
    <row r="15" spans="2:13" ht="15" x14ac:dyDescent="0.2">
      <c r="B15" s="47" t="s">
        <v>26</v>
      </c>
      <c r="C15" s="48">
        <v>0.88626079302007743</v>
      </c>
      <c r="D15" s="49">
        <f t="shared" si="0"/>
        <v>0.9198542646693415</v>
      </c>
      <c r="E15" s="50">
        <v>159.6</v>
      </c>
      <c r="F15" s="50">
        <f t="shared" si="1"/>
        <v>5.7634978989307114E-3</v>
      </c>
      <c r="G15" s="51">
        <f>F15/F23</f>
        <v>3.558778907695181E-3</v>
      </c>
      <c r="I15" s="86" t="s">
        <v>62</v>
      </c>
      <c r="J15" s="93">
        <f>LOG(J14)-((Parameters!C9/B8) + (Parameters!D9) + ((Parameters!E9*(C4-1))/B8))</f>
        <v>-1.2582630924177938</v>
      </c>
      <c r="K15" s="96"/>
      <c r="L15" s="97"/>
      <c r="M15" s="97"/>
    </row>
    <row r="16" spans="2:13" ht="15" x14ac:dyDescent="0.2">
      <c r="B16" s="47" t="s">
        <v>3</v>
      </c>
      <c r="C16" s="48">
        <v>7.1825425384405355</v>
      </c>
      <c r="D16" s="49">
        <f t="shared" si="0"/>
        <v>7.454794838254581</v>
      </c>
      <c r="E16" s="50">
        <v>71.8</v>
      </c>
      <c r="F16" s="50">
        <f t="shared" si="1"/>
        <v>0.10382722615953456</v>
      </c>
      <c r="G16" s="51">
        <f>F16/F23</f>
        <v>6.4110050698483134E-2</v>
      </c>
      <c r="I16" s="86" t="s">
        <v>63</v>
      </c>
      <c r="J16" s="93">
        <f>LOG(J14)-((Parameters!C10/B8) + (Parameters!D10) + ((Parameters!E10*(C4-1))/B8))</f>
        <v>-1.9080324184200528</v>
      </c>
      <c r="K16" s="96"/>
      <c r="L16" s="97"/>
      <c r="M16" s="97"/>
    </row>
    <row r="17" spans="2:13" ht="16" thickBot="1" x14ac:dyDescent="0.25">
      <c r="B17" s="47" t="s">
        <v>4</v>
      </c>
      <c r="C17" s="48">
        <v>0.18323076923076925</v>
      </c>
      <c r="D17" s="49">
        <f t="shared" si="0"/>
        <v>0.19017608115238921</v>
      </c>
      <c r="E17" s="50">
        <v>71</v>
      </c>
      <c r="F17" s="50">
        <f t="shared" si="1"/>
        <v>2.6785363542590028E-3</v>
      </c>
      <c r="G17" s="51">
        <f>F17/F23</f>
        <v>1.6539120596886477E-3</v>
      </c>
      <c r="I17" s="87" t="s">
        <v>43</v>
      </c>
      <c r="J17" s="79">
        <f>(2*G15)/(2*G15+G16)</f>
        <v>9.9926951976831088E-2</v>
      </c>
      <c r="K17" s="96"/>
      <c r="L17" s="97"/>
      <c r="M17" s="97"/>
    </row>
    <row r="18" spans="2:13" ht="15" x14ac:dyDescent="0.2">
      <c r="B18" s="47" t="s">
        <v>5</v>
      </c>
      <c r="C18" s="48">
        <v>9.2318461538461545</v>
      </c>
      <c r="D18" s="49">
        <f t="shared" si="0"/>
        <v>9.5817767436703765</v>
      </c>
      <c r="E18" s="50">
        <v>40.299999999999997</v>
      </c>
      <c r="F18" s="50">
        <f t="shared" si="1"/>
        <v>0.23776120952035676</v>
      </c>
      <c r="G18" s="51">
        <f>F18/F23</f>
        <v>0.14681007824538683</v>
      </c>
      <c r="I18" s="95"/>
      <c r="J18" s="76"/>
      <c r="K18" s="96"/>
      <c r="L18" s="97"/>
      <c r="M18" s="97"/>
    </row>
    <row r="19" spans="2:13" ht="15" x14ac:dyDescent="0.2">
      <c r="B19" s="47" t="s">
        <v>6</v>
      </c>
      <c r="C19" s="48">
        <v>10.438153846153845</v>
      </c>
      <c r="D19" s="49">
        <f t="shared" si="0"/>
        <v>10.833809197336105</v>
      </c>
      <c r="E19" s="50">
        <v>56.1</v>
      </c>
      <c r="F19" s="50">
        <f t="shared" si="1"/>
        <v>0.19311602847301435</v>
      </c>
      <c r="G19" s="51">
        <f>F19/F23</f>
        <v>0.11924308135778634</v>
      </c>
      <c r="I19" s="95"/>
      <c r="J19" s="76"/>
      <c r="K19" s="96"/>
      <c r="L19" s="97"/>
      <c r="M19" s="97"/>
    </row>
    <row r="20" spans="2:13" ht="15" x14ac:dyDescent="0.2">
      <c r="B20" s="47" t="s">
        <v>7</v>
      </c>
      <c r="C20" s="48">
        <v>2.3928461538461536</v>
      </c>
      <c r="D20" s="49">
        <f t="shared" si="0"/>
        <v>2.4835463293062006</v>
      </c>
      <c r="E20" s="50">
        <v>62</v>
      </c>
      <c r="F20" s="50">
        <f t="shared" si="1"/>
        <v>4.0057198859777425E-2</v>
      </c>
      <c r="G20" s="51">
        <f>F20/F23</f>
        <v>2.4734062005986886E-2</v>
      </c>
      <c r="I20" s="95"/>
      <c r="J20" s="76"/>
      <c r="K20" s="96"/>
      <c r="L20" s="97"/>
      <c r="M20" s="97"/>
    </row>
    <row r="21" spans="2:13" ht="15" x14ac:dyDescent="0.2">
      <c r="B21" s="47" t="s">
        <v>8</v>
      </c>
      <c r="C21" s="48">
        <v>0.4304615384615384</v>
      </c>
      <c r="D21" s="49">
        <f t="shared" si="0"/>
        <v>0.44677806470561282</v>
      </c>
      <c r="E21" s="50">
        <v>94.2</v>
      </c>
      <c r="F21" s="50">
        <f t="shared" si="1"/>
        <v>4.7428669289343185E-3</v>
      </c>
      <c r="G21" s="51">
        <f>F21/F23</f>
        <v>2.9285713441186403E-3</v>
      </c>
      <c r="I21" s="95"/>
      <c r="J21" s="76"/>
      <c r="K21" s="96"/>
      <c r="L21" s="97"/>
      <c r="M21" s="97"/>
    </row>
    <row r="22" spans="2:13" ht="16" thickBot="1" x14ac:dyDescent="0.25">
      <c r="B22" s="58" t="s">
        <v>9</v>
      </c>
      <c r="C22" s="59">
        <v>0.27423076923076928</v>
      </c>
      <c r="D22" s="49">
        <f t="shared" si="0"/>
        <v>0.28462541112857581</v>
      </c>
      <c r="E22" s="61">
        <v>70.97</v>
      </c>
      <c r="F22" s="61">
        <f t="shared" si="1"/>
        <v>4.0105031862558236E-3</v>
      </c>
      <c r="G22" s="62">
        <f>F22/F23</f>
        <v>2.4763597382657996E-3</v>
      </c>
      <c r="J22" s="76"/>
      <c r="K22" s="96"/>
      <c r="L22" s="97"/>
      <c r="M22" s="97"/>
    </row>
    <row r="23" spans="2:13" ht="15" thickBot="1" x14ac:dyDescent="0.2">
      <c r="B23" s="66" t="s">
        <v>19</v>
      </c>
      <c r="C23" s="67">
        <f>SUM(C12:C22)</f>
        <v>96.347957177614447</v>
      </c>
      <c r="D23" s="68">
        <f>SUM(D12:D22)</f>
        <v>100.00000000000003</v>
      </c>
      <c r="E23" s="69"/>
      <c r="F23" s="70">
        <f>SUM(F12:F22)</f>
        <v>1.6195155834121209</v>
      </c>
      <c r="G23" s="71">
        <f>SUM(G12:G22)</f>
        <v>1.0000000000000004</v>
      </c>
      <c r="J23" s="76"/>
      <c r="K23" s="98"/>
      <c r="L23" s="76"/>
      <c r="M23" s="97"/>
    </row>
    <row r="24" spans="2:13" x14ac:dyDescent="0.15">
      <c r="I24" s="75"/>
    </row>
    <row r="28" spans="2:13" x14ac:dyDescent="0.15">
      <c r="M28" s="76"/>
    </row>
    <row r="30" spans="2:13" x14ac:dyDescent="0.15">
      <c r="J30" s="76"/>
      <c r="K30" s="76"/>
    </row>
  </sheetData>
  <mergeCells count="5">
    <mergeCell ref="B10:C10"/>
    <mergeCell ref="D10:G10"/>
    <mergeCell ref="I12:J12"/>
    <mergeCell ref="B2:C2"/>
    <mergeCell ref="B6:C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Parameters!$B$9:$B$10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5C04-AE40-184A-9BC8-5435EAA2C18A}">
  <dimension ref="B1:E16"/>
  <sheetViews>
    <sheetView zoomScale="150" workbookViewId="0">
      <selection activeCell="C15" sqref="C15:C16"/>
    </sheetView>
  </sheetViews>
  <sheetFormatPr baseColWidth="10" defaultRowHeight="13" x14ac:dyDescent="0.15"/>
  <cols>
    <col min="2" max="2" width="15.33203125" customWidth="1"/>
    <col min="3" max="3" width="12.1640625" customWidth="1"/>
  </cols>
  <sheetData>
    <row r="1" spans="2:5" ht="14" thickBot="1" x14ac:dyDescent="0.2"/>
    <row r="2" spans="2:5" ht="14" x14ac:dyDescent="0.15">
      <c r="B2" s="120" t="s">
        <v>24</v>
      </c>
      <c r="C2" s="121"/>
      <c r="D2" s="121"/>
      <c r="E2" s="122"/>
    </row>
    <row r="3" spans="2:5" x14ac:dyDescent="0.15">
      <c r="B3" s="123" t="s">
        <v>66</v>
      </c>
      <c r="C3" s="124"/>
      <c r="D3" s="124"/>
      <c r="E3" s="125"/>
    </row>
    <row r="4" spans="2:5" ht="14" x14ac:dyDescent="0.15">
      <c r="B4" s="17" t="s">
        <v>64</v>
      </c>
      <c r="C4" s="84" t="s">
        <v>65</v>
      </c>
      <c r="D4" s="84" t="s">
        <v>26</v>
      </c>
      <c r="E4" s="84" t="s">
        <v>3</v>
      </c>
    </row>
    <row r="5" spans="2:5" ht="15" thickBot="1" x14ac:dyDescent="0.2">
      <c r="B5" s="24">
        <v>0.1</v>
      </c>
      <c r="C5" s="26">
        <v>7.98</v>
      </c>
      <c r="D5" s="26"/>
      <c r="E5" s="26"/>
    </row>
    <row r="6" spans="2:5" ht="14" thickBot="1" x14ac:dyDescent="0.2"/>
    <row r="7" spans="2:5" ht="14" x14ac:dyDescent="0.15">
      <c r="B7" s="112" t="s">
        <v>49</v>
      </c>
      <c r="C7" s="113"/>
    </row>
    <row r="8" spans="2:5" ht="15" thickBot="1" x14ac:dyDescent="0.2">
      <c r="B8" s="99" t="s">
        <v>67</v>
      </c>
      <c r="C8" s="100">
        <f>IF(C5=0, 0.8998*D5+E5,C5)</f>
        <v>7.98</v>
      </c>
    </row>
    <row r="9" spans="2:5" ht="15" thickBot="1" x14ac:dyDescent="0.2">
      <c r="B9" s="99" t="s">
        <v>68</v>
      </c>
      <c r="C9" s="100">
        <f>1/(1/B5 - 1)</f>
        <v>0.1111111111111111</v>
      </c>
    </row>
    <row r="10" spans="2:5" ht="15" thickBot="1" x14ac:dyDescent="0.2">
      <c r="B10" s="99" t="s">
        <v>69</v>
      </c>
      <c r="C10" s="100">
        <f>C9*((1/0.6999417622)/(1/0.777298351))</f>
        <v>0.12339095637469086</v>
      </c>
    </row>
    <row r="11" spans="2:5" ht="15" thickBot="1" x14ac:dyDescent="0.2">
      <c r="B11" s="101" t="s">
        <v>70</v>
      </c>
      <c r="C11" s="100">
        <f>C16+0.8998*C15</f>
        <v>7.9800000000000013</v>
      </c>
    </row>
    <row r="13" spans="2:5" ht="14" thickBot="1" x14ac:dyDescent="0.2"/>
    <row r="14" spans="2:5" ht="14" x14ac:dyDescent="0.15">
      <c r="B14" s="108" t="s">
        <v>25</v>
      </c>
      <c r="C14" s="109"/>
    </row>
    <row r="15" spans="2:5" ht="14" x14ac:dyDescent="0.15">
      <c r="B15" s="86" t="s">
        <v>26</v>
      </c>
      <c r="C15" s="23">
        <f>IF(B5=0,0,IF(B5=1,C8/0.8998,(C10*C8)/(1+0.8998*C10)))</f>
        <v>0.88626079302007743</v>
      </c>
    </row>
    <row r="16" spans="2:5" ht="15" thickBot="1" x14ac:dyDescent="0.2">
      <c r="B16" s="102" t="s">
        <v>3</v>
      </c>
      <c r="C16" s="79">
        <f>IF(B5=0,C8,IF(B5=1,0,C15/C10))</f>
        <v>7.1825425384405355</v>
      </c>
    </row>
  </sheetData>
  <mergeCells count="4">
    <mergeCell ref="B14:C14"/>
    <mergeCell ref="B2:E2"/>
    <mergeCell ref="B3:E3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6"/>
  <sheetViews>
    <sheetView workbookViewId="0">
      <selection activeCell="B4" sqref="B4:N4"/>
    </sheetView>
  </sheetViews>
  <sheetFormatPr baseColWidth="10" defaultRowHeight="13" x14ac:dyDescent="0.15"/>
  <cols>
    <col min="2" max="2" width="13" customWidth="1"/>
    <col min="3" max="3" width="11.33203125" bestFit="1" customWidth="1"/>
    <col min="4" max="10" width="11.1640625" bestFit="1" customWidth="1"/>
    <col min="11" max="11" width="16.83203125" bestFit="1" customWidth="1"/>
    <col min="12" max="12" width="13" bestFit="1" customWidth="1"/>
    <col min="13" max="13" width="12.1640625" bestFit="1" customWidth="1"/>
    <col min="14" max="14" width="11.1640625" bestFit="1" customWidth="1"/>
  </cols>
  <sheetData>
    <row r="1" spans="2:14" ht="14" thickBot="1" x14ac:dyDescent="0.2"/>
    <row r="2" spans="2:14" ht="16" x14ac:dyDescent="0.2">
      <c r="B2" s="126" t="s">
        <v>52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2:14" ht="16" x14ac:dyDescent="0.2"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44</v>
      </c>
      <c r="K3" s="4" t="s">
        <v>45</v>
      </c>
      <c r="L3" s="4" t="s">
        <v>46</v>
      </c>
      <c r="M3" s="4" t="s">
        <v>47</v>
      </c>
      <c r="N3" s="5" t="s">
        <v>53</v>
      </c>
    </row>
    <row r="4" spans="2:14" ht="17" thickBot="1" x14ac:dyDescent="0.25">
      <c r="B4" s="6">
        <v>0.19600000000000001</v>
      </c>
      <c r="C4" s="7">
        <f>1.1492*(10^4)</f>
        <v>11492</v>
      </c>
      <c r="D4" s="7">
        <v>-6.6749999999999998</v>
      </c>
      <c r="E4" s="7">
        <v>-2.2429999999999999</v>
      </c>
      <c r="F4" s="7">
        <v>-1.8280000000000001</v>
      </c>
      <c r="G4" s="7">
        <v>3.2010000000000001</v>
      </c>
      <c r="H4" s="7">
        <v>5.8540000000000001</v>
      </c>
      <c r="I4" s="7">
        <v>6.2149999999999999</v>
      </c>
      <c r="J4" s="7">
        <v>-3.36</v>
      </c>
      <c r="K4" s="7">
        <v>-7.0099999999999994E-7</v>
      </c>
      <c r="L4" s="7">
        <v>-1.5400000000000001E-10</v>
      </c>
      <c r="M4" s="7">
        <v>3.8500000000000003E-17</v>
      </c>
      <c r="N4" s="8">
        <v>1673</v>
      </c>
    </row>
    <row r="5" spans="2:14" ht="16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 ht="17" thickBo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4" ht="16" x14ac:dyDescent="0.2">
      <c r="B7" s="126" t="s">
        <v>57</v>
      </c>
      <c r="C7" s="127"/>
      <c r="D7" s="127"/>
      <c r="E7" s="128"/>
      <c r="F7" s="9"/>
      <c r="G7" s="9"/>
      <c r="H7" s="9"/>
      <c r="I7" s="9"/>
      <c r="J7" s="9"/>
      <c r="K7" s="9"/>
      <c r="L7" s="9"/>
      <c r="M7" s="9"/>
      <c r="N7" s="9"/>
    </row>
    <row r="8" spans="2:14" ht="16" x14ac:dyDescent="0.2">
      <c r="B8" s="12"/>
      <c r="C8" s="10" t="s">
        <v>54</v>
      </c>
      <c r="D8" s="10" t="s">
        <v>55</v>
      </c>
      <c r="E8" s="13" t="s">
        <v>56</v>
      </c>
      <c r="F8" s="9"/>
      <c r="G8" s="9"/>
      <c r="H8" s="9"/>
      <c r="I8" s="9"/>
      <c r="J8" s="9"/>
      <c r="K8" s="9"/>
      <c r="L8" s="9"/>
      <c r="M8" s="9"/>
      <c r="N8" s="9"/>
    </row>
    <row r="9" spans="2:14" ht="16" x14ac:dyDescent="0.2">
      <c r="B9" s="14" t="s">
        <v>34</v>
      </c>
      <c r="C9" s="11">
        <v>-25096.3</v>
      </c>
      <c r="D9" s="11">
        <v>8.7349999999999994</v>
      </c>
      <c r="E9" s="15">
        <v>0.11</v>
      </c>
      <c r="F9" s="9"/>
      <c r="G9" s="9"/>
      <c r="H9" s="9"/>
      <c r="I9" s="9"/>
      <c r="J9" s="9"/>
      <c r="K9" s="9"/>
      <c r="L9" s="9"/>
      <c r="M9" s="9"/>
      <c r="N9" s="9"/>
    </row>
    <row r="10" spans="2:14" ht="17" thickBot="1" x14ac:dyDescent="0.25">
      <c r="B10" s="16" t="s">
        <v>35</v>
      </c>
      <c r="C10" s="7">
        <v>-24930</v>
      </c>
      <c r="D10" s="7">
        <v>9.36</v>
      </c>
      <c r="E10" s="8">
        <v>4.5999999999999999E-2</v>
      </c>
      <c r="F10" s="9"/>
      <c r="G10" s="9"/>
      <c r="H10" s="9"/>
      <c r="I10" s="9"/>
      <c r="J10" s="9"/>
      <c r="K10" s="9"/>
      <c r="L10" s="9"/>
      <c r="M10" s="9"/>
      <c r="N10" s="9"/>
    </row>
    <row r="11" spans="2:14" ht="16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ht="16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ht="16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ht="16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ht="16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ht="16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</sheetData>
  <mergeCells count="2">
    <mergeCell ref="B2:N2"/>
    <mergeCell ref="B7:E7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D29" sqref="D29"/>
    </sheetView>
  </sheetViews>
  <sheetFormatPr baseColWidth="10" defaultRowHeight="13" x14ac:dyDescent="0.15"/>
  <sheetData>
    <row r="1" spans="1:2" x14ac:dyDescent="0.15">
      <c r="A1" s="1" t="s">
        <v>71</v>
      </c>
    </row>
    <row r="14" spans="1:2" x14ac:dyDescent="0.15">
      <c r="B14" s="1"/>
    </row>
    <row r="15" spans="1:2" x14ac:dyDescent="0.15">
      <c r="B15" s="1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fO2 to Ferric-Ferris</vt:lpstr>
      <vt:lpstr>Ferric-Ferris to fO2</vt:lpstr>
      <vt:lpstr>Fe3+-Tot to Ferric-Ferris</vt:lpstr>
      <vt:lpstr>Parameters</vt:lpstr>
      <vt:lpstr>Citation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Ulysses Grant</dc:creator>
  <cp:lastModifiedBy>Kayla Iacovino</cp:lastModifiedBy>
  <dcterms:created xsi:type="dcterms:W3CDTF">2009-12-21T21:16:02Z</dcterms:created>
  <dcterms:modified xsi:type="dcterms:W3CDTF">2026-03-23T01:31:51Z</dcterms:modified>
</cp:coreProperties>
</file>