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0" yWindow="0" windowWidth="25600" windowHeight="8180" tabRatio="500" activeTab="0"/>
  </bookViews>
  <sheets>
    <sheet name="Inputs and Outputs" sheetId="1" r:id="rId1"/>
    <sheet name="Parameters" sheetId="2" r:id="rId2"/>
    <sheet name="Citation" sheetId="3" r:id="rId3"/>
  </sheets>
  <definedNames>
    <definedName name="NNO">'Inputs and Outputs'!#REF!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Kayla</author>
  </authors>
  <commentList>
    <comment ref="C6" authorId="0">
      <text>
        <r>
          <rPr>
            <b/>
            <sz val="9"/>
            <rFont val="Verdana"/>
            <family val="0"/>
          </rPr>
          <t>Kayla:</t>
        </r>
        <r>
          <rPr>
            <sz val="9"/>
            <rFont val="Verdana"/>
            <family val="0"/>
          </rPr>
          <t xml:space="preserve">
For example: If you want to set fO2 = NNO+1, select "NNO" from the dropdown box in cell B7, then enter "+1" in cell C6</t>
        </r>
      </text>
    </comment>
    <comment ref="B6" authorId="0">
      <text>
        <r>
          <rPr>
            <b/>
            <sz val="9"/>
            <rFont val="Verdana"/>
            <family val="0"/>
          </rPr>
          <t>Kayla:</t>
        </r>
        <r>
          <rPr>
            <sz val="9"/>
            <rFont val="Verdana"/>
            <family val="0"/>
          </rPr>
          <t xml:space="preserve">
Select buffer from drop down box</t>
        </r>
      </text>
    </comment>
  </commentList>
</comments>
</file>

<file path=xl/sharedStrings.xml><?xml version="1.0" encoding="utf-8"?>
<sst xmlns="http://schemas.openxmlformats.org/spreadsheetml/2006/main" count="62" uniqueCount="48">
  <si>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</si>
  <si>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</si>
  <si>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</si>
  <si>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</si>
  <si>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</si>
  <si>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</si>
  <si>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</si>
  <si>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</si>
  <si>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</si>
  <si>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</si>
  <si>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a</t>
  </si>
  <si>
    <t>b</t>
  </si>
  <si>
    <t>c</t>
  </si>
  <si>
    <t>dAl2O3</t>
  </si>
  <si>
    <t>dFeO*</t>
  </si>
  <si>
    <t>dCaO</t>
  </si>
  <si>
    <t>dNa2O</t>
  </si>
  <si>
    <t>dK2O</t>
  </si>
  <si>
    <t>Temp (K)</t>
  </si>
  <si>
    <t>TOTAL</t>
  </si>
  <si>
    <t>ln(XFe2O3/XFeO)</t>
  </si>
  <si>
    <t>XFe2O3/XFeO</t>
  </si>
  <si>
    <t>XFe2O3</t>
  </si>
  <si>
    <t>XFeO</t>
  </si>
  <si>
    <t>PARAMETERS</t>
  </si>
  <si>
    <t>USER INPUTS</t>
  </si>
  <si>
    <t>OUTPUTS</t>
  </si>
  <si>
    <t>Fe2O3</t>
  </si>
  <si>
    <t>wt%</t>
  </si>
  <si>
    <t>X (mol frac)</t>
  </si>
  <si>
    <t>New Normalized Comp</t>
  </si>
  <si>
    <t>wt%/MW</t>
  </si>
  <si>
    <t>MW</t>
  </si>
  <si>
    <t>Temp (°C)</t>
  </si>
  <si>
    <t>wt% normalized</t>
  </si>
  <si>
    <t>X*MW</t>
  </si>
  <si>
    <t>QFM</t>
  </si>
  <si>
    <t>NNO</t>
  </si>
  <si>
    <t>fO2 values</t>
  </si>
  <si>
    <t>fO2 buffer</t>
  </si>
  <si>
    <t>fO2 value</t>
  </si>
  <si>
    <t>Δbuffer</t>
  </si>
  <si>
    <t>wt% FeO*</t>
  </si>
  <si>
    <t>P (bars)</t>
  </si>
  <si>
    <t>VERSION 2.2 (OCTOBER, 2016)</t>
  </si>
  <si>
    <t>logfO2 value</t>
  </si>
  <si>
    <r>
      <t xml:space="preserve">Enter your data into </t>
    </r>
    <r>
      <rPr>
        <sz val="10"/>
        <color indexed="10"/>
        <rFont val="Verdana"/>
        <family val="0"/>
      </rPr>
      <t>RED</t>
    </r>
    <r>
      <rPr>
        <sz val="10"/>
        <rFont val="Verdana"/>
        <family val="0"/>
      </rPr>
      <t xml:space="preserve"> cells</t>
    </r>
  </si>
  <si>
    <r>
      <t xml:space="preserve">Fe2O3 </t>
    </r>
    <r>
      <rPr>
        <sz val="6"/>
        <rFont val="Verdana"/>
        <family val="0"/>
      </rPr>
      <t>(leave blank if unknown)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</si>
</sst>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55"/>
      <name val="Verdana"/>
      <family val="0"/>
    </font>
    <font>
      <sz val="8"/>
      <color indexed="55"/>
      <name val="Verdana"/>
      <family val="0"/>
    </font>
    <font>
      <b/>
      <sz val="10"/>
      <color indexed="63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10"/>
      <name val="Calibri"/>
      <family val="0"/>
    </font>
    <font>
      <sz val="6"/>
      <name val="Verdana"/>
      <family val="0"/>
    </font>
    <font>
      <sz val="10"/>
      <color indexed="8"/>
      <name val="Verdana"/>
      <family val="0"/>
    </font>
    <font>
      <b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0" tint="-0.3499799966812134"/>
      <name val="Verdana"/>
      <family val="0"/>
    </font>
    <font>
      <sz val="8"/>
      <color theme="0" tint="-0.3499799966812134"/>
      <name val="Verdana"/>
      <family val="0"/>
    </font>
    <font>
      <b/>
      <sz val="10"/>
      <color rgb="FF222222"/>
      <name val="Arial"/>
      <family val="0"/>
    </font>
    <font>
      <b/>
      <sz val="8"/>
      <color theme="0" tint="-0.24997000396251678"/>
      <name val="Verdana"/>
      <family val="0"/>
    </font>
    <font>
      <sz val="8"/>
      <color theme="0" tint="-0.24997000396251678"/>
      <name val="Verdana"/>
      <family val="0"/>
    </font>
    <font>
      <b/>
      <sz val="10"/>
      <color rgb="FFFF0000"/>
      <name val="Verdana"/>
      <family val="0"/>
    </font>
    <font>
      <b/>
      <sz val="10"/>
      <color rgb="FFFF0000"/>
      <name val="Calibri"/>
      <family val="0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1" fillId="0" borderId="14" xfId="0" applyFont="1" applyFill="1" applyBorder="1" applyAlignment="1">
      <alignment/>
    </xf>
    <xf numFmtId="0" fontId="53" fillId="0" borderId="0" xfId="0" applyFont="1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3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35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53" fillId="0" borderId="1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16" xfId="0" applyFont="1" applyBorder="1" applyAlignment="1">
      <alignment/>
    </xf>
    <xf numFmtId="2" fontId="0" fillId="0" borderId="0" xfId="0" applyNumberFormat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2" fontId="58" fillId="36" borderId="0" xfId="0" applyNumberFormat="1" applyFont="1" applyFill="1" applyBorder="1" applyAlignment="1">
      <alignment horizontal="center"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2</xdr:row>
      <xdr:rowOff>114300</xdr:rowOff>
    </xdr:from>
    <xdr:ext cx="3743325" cy="1085850"/>
    <xdr:sp>
      <xdr:nvSpPr>
        <xdr:cNvPr id="1" name="Text Box 2"/>
        <xdr:cNvSpPr txBox="1">
          <a:spLocks noChangeArrowheads="1"/>
        </xdr:cNvSpPr>
      </xdr:nvSpPr>
      <xdr:spPr>
        <a:xfrm>
          <a:off x="752475" y="438150"/>
          <a:ext cx="37433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These calculations are done using Kress and Carmichael 1991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ln(XFe2O3/XFeO) = a*ln(fO2)+(b/T)+c+SUM(di*Xi)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Calculations of logfO2 are from Reviews in Mineralogy Volume 25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logfO2 = A/T + B (see table below for A&amp;B values)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Input and output values are in wt%</a:t>
          </a:r>
        </a:p>
      </xdr:txBody>
    </xdr:sp>
    <xdr:clientData/>
  </xdr:oneCellAnchor>
  <xdr:twoCellAnchor editAs="oneCell">
    <xdr:from>
      <xdr:col>0</xdr:col>
      <xdr:colOff>695325</xdr:colOff>
      <xdr:row>10</xdr:row>
      <xdr:rowOff>114300</xdr:rowOff>
    </xdr:from>
    <xdr:to>
      <xdr:col>7</xdr:col>
      <xdr:colOff>247650</xdr:colOff>
      <xdr:row>42</xdr:row>
      <xdr:rowOff>0</xdr:rowOff>
    </xdr:to>
    <xdr:pic>
      <xdr:nvPicPr>
        <xdr:cNvPr id="2" name="Picture 2" descr="table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33550"/>
          <a:ext cx="54197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="125" zoomScaleNormal="125" workbookViewId="0" topLeftCell="A3">
      <selection activeCell="F6" sqref="F6"/>
    </sheetView>
  </sheetViews>
  <sheetFormatPr defaultColWidth="11.00390625" defaultRowHeight="12.75"/>
  <cols>
    <col min="1" max="1" width="18.25390625" style="0" customWidth="1"/>
    <col min="2" max="2" width="13.75390625" style="0" customWidth="1"/>
    <col min="3" max="3" width="9.625" style="0" customWidth="1"/>
    <col min="4" max="4" width="8.75390625" style="0" customWidth="1"/>
    <col min="5" max="6" width="11.75390625" style="0" customWidth="1"/>
    <col min="8" max="8" width="19.375" style="0" bestFit="1" customWidth="1"/>
    <col min="10" max="10" width="6.25390625" style="0" customWidth="1"/>
    <col min="11" max="11" width="13.00390625" style="0" customWidth="1"/>
    <col min="12" max="12" width="14.625" style="0" bestFit="1" customWidth="1"/>
  </cols>
  <sheetData>
    <row r="2" ht="12.75">
      <c r="A2" t="s">
        <v>46</v>
      </c>
    </row>
    <row r="3" spans="1:12" ht="12.75">
      <c r="A3" s="3" t="s">
        <v>25</v>
      </c>
      <c r="B3" s="4"/>
      <c r="C3" s="4"/>
      <c r="D3" s="4"/>
      <c r="E3" s="4"/>
      <c r="F3" s="5"/>
      <c r="H3" s="20" t="s">
        <v>26</v>
      </c>
      <c r="I3" s="4"/>
      <c r="J3" s="4"/>
      <c r="K3" s="4"/>
      <c r="L3" s="5"/>
    </row>
    <row r="4" spans="1:12" ht="12.75">
      <c r="A4" s="6" t="s">
        <v>33</v>
      </c>
      <c r="B4" s="10" t="s">
        <v>43</v>
      </c>
      <c r="C4" s="7"/>
      <c r="D4" s="7"/>
      <c r="F4" s="8"/>
      <c r="H4" s="21" t="s">
        <v>20</v>
      </c>
      <c r="I4" s="7">
        <f>(Parameters!A3*LN(D7))+(Parameters!B3/A7)+Parameters!C3+((Parameters!D3*F12)+(Parameters!E3*F14)+(Parameters!F3*F17)+(Parameters!G3*F18)+(Parameters!H3*F19))</f>
        <v>-1.8111541544818255</v>
      </c>
      <c r="J4" s="7"/>
      <c r="K4" s="7"/>
      <c r="L4" s="8"/>
    </row>
    <row r="5" spans="1:12" ht="12.75">
      <c r="A5" s="36">
        <v>1081</v>
      </c>
      <c r="B5" s="37">
        <v>1</v>
      </c>
      <c r="C5" s="7"/>
      <c r="D5" s="7"/>
      <c r="F5" s="8"/>
      <c r="H5" s="21" t="s">
        <v>21</v>
      </c>
      <c r="I5" s="7">
        <f>EXP(I4)</f>
        <v>0.16346536360491504</v>
      </c>
      <c r="J5" s="7"/>
      <c r="K5" s="7"/>
      <c r="L5" s="8"/>
    </row>
    <row r="6" spans="1:12" ht="12.75">
      <c r="A6" s="6" t="s">
        <v>18</v>
      </c>
      <c r="B6" s="10" t="s">
        <v>39</v>
      </c>
      <c r="C6" s="30" t="s">
        <v>41</v>
      </c>
      <c r="D6" s="30" t="s">
        <v>40</v>
      </c>
      <c r="E6" s="40" t="s">
        <v>45</v>
      </c>
      <c r="F6" s="8"/>
      <c r="H6" s="21" t="s">
        <v>22</v>
      </c>
      <c r="I6" s="7">
        <f>I7*I5</f>
        <v>0.008578360776549089</v>
      </c>
      <c r="J6" s="7"/>
      <c r="K6" s="7"/>
      <c r="L6" s="8"/>
    </row>
    <row r="7" spans="1:12" ht="12.75">
      <c r="A7" s="9">
        <f>A5+273.15</f>
        <v>1354.15</v>
      </c>
      <c r="B7" s="37" t="s">
        <v>37</v>
      </c>
      <c r="C7" s="38">
        <v>0</v>
      </c>
      <c r="D7" s="7">
        <f>IF(B7="NNO",10^((-24930/A7)+9.36+(0.046*(B5-1)/A7)+C7),10^((-25096.3/A7)+8.735+(0.11*(B5-1)/A7)+C7))</f>
        <v>8.911016762989167E-10</v>
      </c>
      <c r="E7" s="35">
        <f>LOG(D7)</f>
        <v>-9.050072739356793</v>
      </c>
      <c r="F7" s="8"/>
      <c r="H7" s="21" t="s">
        <v>23</v>
      </c>
      <c r="I7" s="22">
        <f>F14/(1+2*I5)</f>
        <v>0.05247815553931302</v>
      </c>
      <c r="J7" s="7"/>
      <c r="K7" s="7"/>
      <c r="L7" s="8"/>
    </row>
    <row r="8" spans="1:12" ht="12.75">
      <c r="A8" s="9"/>
      <c r="B8" s="7"/>
      <c r="C8" s="7"/>
      <c r="D8" s="7"/>
      <c r="F8" s="8"/>
      <c r="H8" s="9"/>
      <c r="I8" s="7"/>
      <c r="J8" s="7"/>
      <c r="K8" s="7"/>
      <c r="L8" s="8"/>
    </row>
    <row r="9" spans="1:12" ht="12.75">
      <c r="A9" s="9"/>
      <c r="B9" s="11" t="s">
        <v>28</v>
      </c>
      <c r="C9" s="31" t="s">
        <v>42</v>
      </c>
      <c r="D9" s="12" t="s">
        <v>32</v>
      </c>
      <c r="E9" s="12" t="s">
        <v>31</v>
      </c>
      <c r="F9" s="13" t="s">
        <v>29</v>
      </c>
      <c r="H9" s="23" t="s">
        <v>30</v>
      </c>
      <c r="I9" s="10" t="s">
        <v>29</v>
      </c>
      <c r="J9" s="14" t="s">
        <v>35</v>
      </c>
      <c r="K9" s="10" t="s">
        <v>28</v>
      </c>
      <c r="L9" s="24" t="s">
        <v>34</v>
      </c>
    </row>
    <row r="10" spans="1:12" ht="12.75">
      <c r="A10" s="9" t="s">
        <v>0</v>
      </c>
      <c r="B10" s="39">
        <v>52.02</v>
      </c>
      <c r="C10" s="32">
        <f>B10*100/B$22</f>
        <v>52.28666197607801</v>
      </c>
      <c r="D10" s="14">
        <v>60.09</v>
      </c>
      <c r="E10" s="14">
        <f>C10/D10</f>
        <v>0.8701391575316693</v>
      </c>
      <c r="F10" s="15">
        <f>E10/E22</f>
        <v>0.5856996480825247</v>
      </c>
      <c r="H10" s="9" t="s">
        <v>0</v>
      </c>
      <c r="I10" s="22">
        <f>F10</f>
        <v>0.5856996480825247</v>
      </c>
      <c r="J10" s="14">
        <f aca="true" t="shared" si="0" ref="J10:J20">I10*D10</f>
        <v>35.19469185327891</v>
      </c>
      <c r="K10" s="25">
        <f>B10</f>
        <v>52.02</v>
      </c>
      <c r="L10" s="26">
        <f>100*K10/$K$22</f>
        <v>52.16802067078448</v>
      </c>
    </row>
    <row r="11" spans="1:12" ht="12.75">
      <c r="A11" s="9" t="s">
        <v>1</v>
      </c>
      <c r="B11" s="39">
        <v>1.8</v>
      </c>
      <c r="C11" s="32">
        <f>B11*100/B$22</f>
        <v>1.8092270579957788</v>
      </c>
      <c r="D11" s="14">
        <v>79.9</v>
      </c>
      <c r="E11" s="14">
        <f aca="true" t="shared" si="1" ref="E11:E20">C11/D11</f>
        <v>0.022643642778420257</v>
      </c>
      <c r="F11" s="15">
        <f>E11/E22</f>
        <v>0.0152416696706865</v>
      </c>
      <c r="H11" s="9" t="s">
        <v>1</v>
      </c>
      <c r="I11" s="22">
        <f>F11</f>
        <v>0.0152416696706865</v>
      </c>
      <c r="J11" s="14">
        <f t="shared" si="0"/>
        <v>1.2178094066878515</v>
      </c>
      <c r="K11" s="25">
        <f>B11</f>
        <v>1.8</v>
      </c>
      <c r="L11" s="26">
        <f aca="true" t="shared" si="2" ref="L11:L20">100*K11/$K$22</f>
        <v>1.8051218225184942</v>
      </c>
    </row>
    <row r="12" spans="1:12" ht="13.5">
      <c r="A12" s="9" t="s">
        <v>2</v>
      </c>
      <c r="B12" s="39">
        <v>19.16</v>
      </c>
      <c r="C12" s="32">
        <f>B12*100/B$22</f>
        <v>19.258216906221733</v>
      </c>
      <c r="D12" s="14">
        <v>102</v>
      </c>
      <c r="E12" s="14">
        <f t="shared" si="1"/>
        <v>0.18880604810021306</v>
      </c>
      <c r="F12" s="15">
        <f>E12/E22</f>
        <v>0.12708729973932045</v>
      </c>
      <c r="H12" s="9" t="s">
        <v>2</v>
      </c>
      <c r="I12" s="22">
        <f>F12</f>
        <v>0.12708729973932045</v>
      </c>
      <c r="J12" s="14">
        <f t="shared" si="0"/>
        <v>12.962904573410686</v>
      </c>
      <c r="K12" s="25">
        <f>B12</f>
        <v>19.16</v>
      </c>
      <c r="L12" s="26">
        <f t="shared" si="2"/>
        <v>19.214518955252416</v>
      </c>
    </row>
    <row r="13" spans="1:12" ht="13.5">
      <c r="A13" s="9" t="s">
        <v>47</v>
      </c>
      <c r="B13" s="39">
        <v>0</v>
      </c>
      <c r="C13" s="33"/>
      <c r="D13" s="14">
        <v>159.6</v>
      </c>
      <c r="E13" s="14"/>
      <c r="F13" s="15"/>
      <c r="H13" s="9" t="s">
        <v>27</v>
      </c>
      <c r="I13" s="22">
        <f>I6</f>
        <v>0.008578360776549089</v>
      </c>
      <c r="J13" s="14">
        <f t="shared" si="0"/>
        <v>1.3691063799372345</v>
      </c>
      <c r="K13" s="25">
        <f>J13*100/$J$22</f>
        <v>2.0298608944583187</v>
      </c>
      <c r="L13" s="26">
        <f t="shared" si="2"/>
        <v>2.0356367762575673</v>
      </c>
    </row>
    <row r="14" spans="1:12" ht="13.5">
      <c r="A14" s="9" t="s">
        <v>3</v>
      </c>
      <c r="B14" s="39">
        <v>7.39</v>
      </c>
      <c r="C14" s="33">
        <f>(B14+0.8998*B13)*100/B22</f>
        <v>7.427882199216003</v>
      </c>
      <c r="D14" s="14">
        <v>71.8</v>
      </c>
      <c r="E14" s="14">
        <f t="shared" si="1"/>
        <v>0.10345239831777163</v>
      </c>
      <c r="F14" s="15">
        <f>E14/E22</f>
        <v>0.0696348770924112</v>
      </c>
      <c r="H14" s="9" t="s">
        <v>3</v>
      </c>
      <c r="I14" s="22">
        <f>I7</f>
        <v>0.05247815553931302</v>
      </c>
      <c r="J14" s="14">
        <f t="shared" si="0"/>
        <v>3.767931567722675</v>
      </c>
      <c r="K14" s="25">
        <f>J14*100/$J$22</f>
        <v>5.586400775274977</v>
      </c>
      <c r="L14" s="26">
        <f t="shared" si="2"/>
        <v>5.602296638212831</v>
      </c>
    </row>
    <row r="15" spans="1:12" ht="13.5">
      <c r="A15" s="9" t="s">
        <v>4</v>
      </c>
      <c r="B15" s="39">
        <v>0.21</v>
      </c>
      <c r="C15" s="32">
        <f aca="true" t="shared" si="3" ref="C15:C20">B15*100/B$22</f>
        <v>0.21107649009950752</v>
      </c>
      <c r="D15" s="14">
        <v>71</v>
      </c>
      <c r="E15" s="14">
        <f t="shared" si="1"/>
        <v>0.0029729083112606694</v>
      </c>
      <c r="F15" s="15">
        <f>E15/E22</f>
        <v>0.00200109526920539</v>
      </c>
      <c r="H15" s="9" t="s">
        <v>4</v>
      </c>
      <c r="I15" s="22">
        <f aca="true" t="shared" si="4" ref="I15:I20">F15</f>
        <v>0.00200109526920539</v>
      </c>
      <c r="J15" s="14">
        <f t="shared" si="0"/>
        <v>0.14207776411358267</v>
      </c>
      <c r="K15" s="25">
        <f aca="true" t="shared" si="5" ref="K15:K20">B15</f>
        <v>0.21</v>
      </c>
      <c r="L15" s="26">
        <f t="shared" si="2"/>
        <v>0.21059754596049096</v>
      </c>
    </row>
    <row r="16" spans="1:12" ht="13.5">
      <c r="A16" s="9" t="s">
        <v>5</v>
      </c>
      <c r="B16" s="39">
        <v>1.46</v>
      </c>
      <c r="C16" s="32">
        <f t="shared" si="3"/>
        <v>1.4674841692632428</v>
      </c>
      <c r="D16" s="14">
        <v>40.3</v>
      </c>
      <c r="E16" s="14">
        <f t="shared" si="1"/>
        <v>0.03641399923730131</v>
      </c>
      <c r="F16" s="15">
        <f>E16/E22</f>
        <v>0.02451063873399867</v>
      </c>
      <c r="H16" s="9" t="s">
        <v>5</v>
      </c>
      <c r="I16" s="22">
        <f t="shared" si="4"/>
        <v>0.02451063873399867</v>
      </c>
      <c r="J16" s="14">
        <f t="shared" si="0"/>
        <v>0.9877787409801463</v>
      </c>
      <c r="K16" s="25">
        <f t="shared" si="5"/>
        <v>1.46</v>
      </c>
      <c r="L16" s="26">
        <f t="shared" si="2"/>
        <v>1.4641543671538897</v>
      </c>
    </row>
    <row r="17" spans="1:12" ht="13.5">
      <c r="A17" s="9" t="s">
        <v>6</v>
      </c>
      <c r="B17" s="39">
        <v>4.1</v>
      </c>
      <c r="C17" s="32">
        <f t="shared" si="3"/>
        <v>4.121017187657051</v>
      </c>
      <c r="D17" s="14">
        <v>56.1</v>
      </c>
      <c r="E17" s="14">
        <f t="shared" si="1"/>
        <v>0.07345841689228255</v>
      </c>
      <c r="F17" s="15">
        <f>E17/E22</f>
        <v>0.04944561861180621</v>
      </c>
      <c r="H17" s="9" t="s">
        <v>6</v>
      </c>
      <c r="I17" s="22">
        <f t="shared" si="4"/>
        <v>0.04944561861180621</v>
      </c>
      <c r="J17" s="14">
        <f t="shared" si="0"/>
        <v>2.773899204122328</v>
      </c>
      <c r="K17" s="25">
        <f t="shared" si="5"/>
        <v>4.1</v>
      </c>
      <c r="L17" s="26">
        <f t="shared" si="2"/>
        <v>4.111666373514347</v>
      </c>
    </row>
    <row r="18" spans="1:12" ht="13.5">
      <c r="A18" s="9" t="s">
        <v>7</v>
      </c>
      <c r="B18" s="39">
        <v>7.76</v>
      </c>
      <c r="C18" s="32">
        <f t="shared" si="3"/>
        <v>7.799778872248469</v>
      </c>
      <c r="D18" s="14">
        <v>62</v>
      </c>
      <c r="E18" s="14">
        <f t="shared" si="1"/>
        <v>0.12580288503626563</v>
      </c>
      <c r="F18" s="15">
        <f>E18/E22</f>
        <v>0.08467922039334883</v>
      </c>
      <c r="H18" s="9" t="s">
        <v>7</v>
      </c>
      <c r="I18" s="22">
        <f t="shared" si="4"/>
        <v>0.08467922039334883</v>
      </c>
      <c r="J18" s="14">
        <f t="shared" si="0"/>
        <v>5.250111664387627</v>
      </c>
      <c r="K18" s="25">
        <f t="shared" si="5"/>
        <v>7.76</v>
      </c>
      <c r="L18" s="26">
        <f t="shared" si="2"/>
        <v>7.782080745968619</v>
      </c>
    </row>
    <row r="19" spans="1:12" ht="13.5">
      <c r="A19" s="9" t="s">
        <v>8</v>
      </c>
      <c r="B19" s="39">
        <v>4.93</v>
      </c>
      <c r="C19" s="32">
        <f t="shared" si="3"/>
        <v>4.955271886621772</v>
      </c>
      <c r="D19" s="14">
        <v>94.2</v>
      </c>
      <c r="E19" s="14">
        <f t="shared" si="1"/>
        <v>0.052603735526770404</v>
      </c>
      <c r="F19" s="15">
        <f>E19/E22</f>
        <v>0.035408117332927036</v>
      </c>
      <c r="H19" s="9" t="s">
        <v>8</v>
      </c>
      <c r="I19" s="22">
        <f t="shared" si="4"/>
        <v>0.035408117332927036</v>
      </c>
      <c r="J19" s="14">
        <f t="shared" si="0"/>
        <v>3.3354446527617267</v>
      </c>
      <c r="K19" s="25">
        <f t="shared" si="5"/>
        <v>4.93</v>
      </c>
      <c r="L19" s="26">
        <f t="shared" si="2"/>
        <v>4.944028102786764</v>
      </c>
    </row>
    <row r="20" spans="1:12" ht="13.5">
      <c r="A20" s="9" t="s">
        <v>9</v>
      </c>
      <c r="B20" s="39">
        <v>0.66</v>
      </c>
      <c r="C20" s="32">
        <f t="shared" si="3"/>
        <v>0.6633832545984523</v>
      </c>
      <c r="D20" s="14">
        <v>70.97</v>
      </c>
      <c r="E20" s="14">
        <f t="shared" si="1"/>
        <v>0.009347375716478121</v>
      </c>
      <c r="F20" s="15">
        <f>E20/E22</f>
        <v>0.0062918150737712505</v>
      </c>
      <c r="H20" s="9" t="s">
        <v>9</v>
      </c>
      <c r="I20" s="22">
        <f t="shared" si="4"/>
        <v>0.0062918150737712505</v>
      </c>
      <c r="J20" s="14">
        <f t="shared" si="0"/>
        <v>0.44653011578554563</v>
      </c>
      <c r="K20" s="25">
        <f t="shared" si="5"/>
        <v>0.66</v>
      </c>
      <c r="L20" s="26">
        <f t="shared" si="2"/>
        <v>0.6618780015901145</v>
      </c>
    </row>
    <row r="21" spans="1:12" ht="12.75">
      <c r="A21" s="9"/>
      <c r="B21" s="7"/>
      <c r="C21" s="33"/>
      <c r="D21" s="7"/>
      <c r="E21" s="14"/>
      <c r="F21" s="8"/>
      <c r="H21" s="9"/>
      <c r="I21" s="7"/>
      <c r="J21" s="14"/>
      <c r="K21" s="7"/>
      <c r="L21" s="26"/>
    </row>
    <row r="22" spans="1:12" ht="12.75">
      <c r="A22" s="16" t="s">
        <v>19</v>
      </c>
      <c r="B22" s="17">
        <f>SUM(B10:B20)</f>
        <v>99.48999999999998</v>
      </c>
      <c r="C22" s="34">
        <f>SUM(C10:C20)</f>
        <v>100</v>
      </c>
      <c r="D22" s="17"/>
      <c r="E22" s="18">
        <f>SUM(E10:E20)</f>
        <v>1.4856405674484325</v>
      </c>
      <c r="F22" s="19">
        <f>SUM(F10:F20)</f>
        <v>1.0000000000000002</v>
      </c>
      <c r="H22" s="16" t="s">
        <v>19</v>
      </c>
      <c r="I22" s="27">
        <f>SUM(I10:I20)</f>
        <v>0.9914216392234513</v>
      </c>
      <c r="J22" s="28">
        <f>SUM(J10:J20)</f>
        <v>67.44828592318831</v>
      </c>
      <c r="K22" s="27">
        <f>SUM(K10:K20)</f>
        <v>99.71626166973329</v>
      </c>
      <c r="L22" s="29">
        <f>SUM(L10:L20)</f>
        <v>100.00000000000001</v>
      </c>
    </row>
  </sheetData>
  <sheetProtection/>
  <dataValidations count="1">
    <dataValidation type="list" allowBlank="1" showInputMessage="1" showErrorMessage="1" sqref="B7">
      <formula1>Parameters!$A$8:$A$9</formula1>
    </dataValidation>
  </dataValidation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8" sqref="A8"/>
    </sheetView>
  </sheetViews>
  <sheetFormatPr defaultColWidth="11.00390625" defaultRowHeight="12.75"/>
  <sheetData>
    <row r="1" ht="12.75">
      <c r="A1" s="2" t="s">
        <v>24</v>
      </c>
    </row>
    <row r="2" spans="1:8" ht="12.7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</row>
    <row r="3" spans="1:8" ht="12.75">
      <c r="A3">
        <v>0.196</v>
      </c>
      <c r="B3">
        <f>1.1492*(10^4)</f>
        <v>11492</v>
      </c>
      <c r="C3">
        <v>-6.675</v>
      </c>
      <c r="D3">
        <v>-2.243</v>
      </c>
      <c r="E3">
        <v>-1.828</v>
      </c>
      <c r="F3">
        <v>3.201</v>
      </c>
      <c r="G3">
        <v>5.854</v>
      </c>
      <c r="H3">
        <v>6.215</v>
      </c>
    </row>
    <row r="7" ht="12.75">
      <c r="A7" s="1" t="s">
        <v>38</v>
      </c>
    </row>
    <row r="8" ht="12.75">
      <c r="A8" t="s">
        <v>36</v>
      </c>
    </row>
    <row r="9" ht="12.75">
      <c r="A9" t="s">
        <v>37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G18" sqref="G18"/>
    </sheetView>
  </sheetViews>
  <sheetFormatPr defaultColWidth="11.00390625" defaultRowHeight="12.75"/>
  <sheetData>
    <row r="1" ht="12.75">
      <c r="A1" t="s">
        <v>44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Grant</dc:creator>
  <cp:keywords/>
  <dc:description/>
  <cp:lastModifiedBy>Kayla Iacovino</cp:lastModifiedBy>
  <dcterms:created xsi:type="dcterms:W3CDTF">2009-12-21T21:16:02Z</dcterms:created>
  <dcterms:modified xsi:type="dcterms:W3CDTF">2016-10-11T23:11:59Z</dcterms:modified>
  <cp:category/>
  <cp:version/>
  <cp:contentType/>
  <cp:contentStatus/>
</cp:coreProperties>
</file>